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D:\Laurent\websites\excelmadeeasy2017\examples\nutrition\"/>
    </mc:Choice>
  </mc:AlternateContent>
  <bookViews>
    <workbookView xWindow="0" yWindow="0" windowWidth="14370" windowHeight="8430" activeTab="1"/>
  </bookViews>
  <sheets>
    <sheet name="Valeur alimentaire" sheetId="4" r:id="rId1"/>
    <sheet name="Rations Entrée ponte (&lt;42 sem.)" sheetId="9" r:id="rId2"/>
    <sheet name="Rations Pondeuse + de 42 sem." sheetId="1" r:id="rId3"/>
    <sheet name="Feuil2" sheetId="2" r:id="rId4"/>
    <sheet name="Feuil3" sheetId="3" r:id="rId5"/>
  </sheets>
  <calcPr calcId="162913"/>
</workbook>
</file>

<file path=xl/calcChain.xml><?xml version="1.0" encoding="utf-8"?>
<calcChain xmlns="http://schemas.openxmlformats.org/spreadsheetml/2006/main">
  <c r="C7" i="9" l="1"/>
  <c r="D7" i="9"/>
  <c r="E7" i="9"/>
  <c r="E40" i="9"/>
  <c r="F7" i="9"/>
  <c r="G7" i="9"/>
  <c r="H7" i="9"/>
  <c r="H40" i="9"/>
  <c r="E51" i="9"/>
  <c r="I7" i="9"/>
  <c r="J7" i="9"/>
  <c r="K7" i="9"/>
  <c r="K40" i="9"/>
  <c r="L7" i="9"/>
  <c r="M7" i="9"/>
  <c r="M40" i="9"/>
  <c r="C8" i="9"/>
  <c r="D8" i="9"/>
  <c r="E8" i="9"/>
  <c r="F8" i="9"/>
  <c r="G8" i="9"/>
  <c r="H8" i="9"/>
  <c r="I8" i="9"/>
  <c r="I40" i="9"/>
  <c r="J8" i="9"/>
  <c r="J40" i="9"/>
  <c r="K8" i="9"/>
  <c r="L8" i="9"/>
  <c r="M8" i="9"/>
  <c r="C9" i="9"/>
  <c r="D9" i="9"/>
  <c r="E9" i="9"/>
  <c r="F9" i="9"/>
  <c r="F40" i="9"/>
  <c r="E49" i="9"/>
  <c r="G9" i="9"/>
  <c r="H9" i="9"/>
  <c r="I9" i="9"/>
  <c r="J9" i="9"/>
  <c r="K9" i="9"/>
  <c r="L9" i="9"/>
  <c r="M9" i="9"/>
  <c r="C10" i="9"/>
  <c r="D10" i="9"/>
  <c r="E10" i="9"/>
  <c r="F10" i="9"/>
  <c r="G10" i="9"/>
  <c r="H10" i="9"/>
  <c r="I10" i="9"/>
  <c r="J10" i="9"/>
  <c r="K10" i="9"/>
  <c r="L10" i="9"/>
  <c r="M10" i="9"/>
  <c r="C11" i="9"/>
  <c r="C40" i="9"/>
  <c r="D11" i="9"/>
  <c r="E11" i="9"/>
  <c r="F11" i="9"/>
  <c r="G11" i="9"/>
  <c r="H11" i="9"/>
  <c r="I11" i="9"/>
  <c r="J11" i="9"/>
  <c r="K11" i="9"/>
  <c r="L11" i="9"/>
  <c r="M11" i="9"/>
  <c r="C12" i="9"/>
  <c r="D12" i="9"/>
  <c r="E12" i="9"/>
  <c r="F12" i="9"/>
  <c r="G12" i="9"/>
  <c r="H12" i="9"/>
  <c r="I12" i="9"/>
  <c r="J12" i="9"/>
  <c r="K12" i="9"/>
  <c r="L12" i="9"/>
  <c r="M12" i="9"/>
  <c r="C13" i="9"/>
  <c r="D13" i="9"/>
  <c r="D40" i="9"/>
  <c r="E13" i="9"/>
  <c r="F13" i="9"/>
  <c r="G13" i="9"/>
  <c r="H13" i="9"/>
  <c r="I13" i="9"/>
  <c r="J13" i="9"/>
  <c r="K13" i="9"/>
  <c r="L13" i="9"/>
  <c r="M13" i="9"/>
  <c r="C14" i="9"/>
  <c r="D14" i="9"/>
  <c r="E14" i="9"/>
  <c r="F14" i="9"/>
  <c r="G14" i="9"/>
  <c r="H14" i="9"/>
  <c r="I14" i="9"/>
  <c r="J14" i="9"/>
  <c r="K14" i="9"/>
  <c r="L14" i="9"/>
  <c r="M14" i="9"/>
  <c r="C15" i="9"/>
  <c r="D15" i="9"/>
  <c r="E15" i="9"/>
  <c r="F15" i="9"/>
  <c r="G15" i="9"/>
  <c r="H15" i="9"/>
  <c r="I15" i="9"/>
  <c r="J15" i="9"/>
  <c r="K15" i="9"/>
  <c r="L15" i="9"/>
  <c r="M15" i="9"/>
  <c r="C16" i="9"/>
  <c r="D16" i="9"/>
  <c r="E16" i="9"/>
  <c r="F16" i="9"/>
  <c r="G16" i="9"/>
  <c r="H16" i="9"/>
  <c r="I16" i="9"/>
  <c r="J16" i="9"/>
  <c r="K16" i="9"/>
  <c r="L16" i="9"/>
  <c r="M16" i="9"/>
  <c r="C17" i="9"/>
  <c r="D17" i="9"/>
  <c r="E17" i="9"/>
  <c r="F17" i="9"/>
  <c r="G17" i="9"/>
  <c r="H17" i="9"/>
  <c r="I17" i="9"/>
  <c r="J17" i="9"/>
  <c r="K17" i="9"/>
  <c r="L17" i="9"/>
  <c r="M17" i="9"/>
  <c r="C18" i="9"/>
  <c r="D18" i="9"/>
  <c r="E18" i="9"/>
  <c r="F18" i="9"/>
  <c r="G18" i="9"/>
  <c r="H18" i="9"/>
  <c r="I18" i="9"/>
  <c r="J18" i="9"/>
  <c r="K18" i="9"/>
  <c r="L18" i="9"/>
  <c r="M18" i="9"/>
  <c r="C19" i="9"/>
  <c r="D19" i="9"/>
  <c r="E19" i="9"/>
  <c r="F19" i="9"/>
  <c r="G19" i="9"/>
  <c r="H19" i="9"/>
  <c r="I19" i="9"/>
  <c r="J19" i="9"/>
  <c r="K19" i="9"/>
  <c r="L19" i="9"/>
  <c r="M19" i="9"/>
  <c r="C20" i="9"/>
  <c r="D20" i="9"/>
  <c r="E20" i="9"/>
  <c r="F20" i="9"/>
  <c r="G20" i="9"/>
  <c r="H20" i="9"/>
  <c r="I20" i="9"/>
  <c r="J20" i="9"/>
  <c r="K20" i="9"/>
  <c r="L20" i="9"/>
  <c r="M20" i="9"/>
  <c r="C22" i="9"/>
  <c r="D22" i="9"/>
  <c r="E22" i="9"/>
  <c r="F22" i="9"/>
  <c r="G22" i="9"/>
  <c r="H22" i="9"/>
  <c r="I22" i="9"/>
  <c r="J22" i="9"/>
  <c r="K22" i="9"/>
  <c r="L22" i="9"/>
  <c r="M22" i="9"/>
  <c r="C23" i="9"/>
  <c r="D23" i="9"/>
  <c r="E23" i="9"/>
  <c r="F23" i="9"/>
  <c r="G23" i="9"/>
  <c r="H23" i="9"/>
  <c r="I23" i="9"/>
  <c r="J23" i="9"/>
  <c r="K23" i="9"/>
  <c r="L23" i="9"/>
  <c r="M23" i="9"/>
  <c r="C24" i="9"/>
  <c r="D24" i="9"/>
  <c r="E24" i="9"/>
  <c r="F24" i="9"/>
  <c r="G24" i="9"/>
  <c r="H24" i="9"/>
  <c r="I24" i="9"/>
  <c r="J24" i="9"/>
  <c r="K24" i="9"/>
  <c r="L24" i="9"/>
  <c r="M24" i="9"/>
  <c r="C26" i="9"/>
  <c r="D26" i="9"/>
  <c r="E26" i="9"/>
  <c r="F26" i="9"/>
  <c r="G26" i="9"/>
  <c r="H26" i="9"/>
  <c r="I26" i="9"/>
  <c r="J26" i="9"/>
  <c r="K26" i="9"/>
  <c r="L26" i="9"/>
  <c r="L40" i="9"/>
  <c r="M26" i="9"/>
  <c r="C27" i="9"/>
  <c r="D27" i="9"/>
  <c r="E27" i="9"/>
  <c r="F27" i="9"/>
  <c r="G27" i="9"/>
  <c r="H27" i="9"/>
  <c r="I27" i="9"/>
  <c r="J27" i="9"/>
  <c r="K27" i="9"/>
  <c r="L27" i="9"/>
  <c r="M27" i="9"/>
  <c r="C28" i="9"/>
  <c r="D28" i="9"/>
  <c r="E28" i="9"/>
  <c r="F28" i="9"/>
  <c r="G28" i="9"/>
  <c r="H28" i="9"/>
  <c r="I28" i="9"/>
  <c r="J28" i="9"/>
  <c r="K28" i="9"/>
  <c r="L28" i="9"/>
  <c r="M28" i="9"/>
  <c r="C29" i="9"/>
  <c r="D29" i="9"/>
  <c r="E29" i="9"/>
  <c r="F29" i="9"/>
  <c r="G29" i="9"/>
  <c r="H29" i="9"/>
  <c r="I29" i="9"/>
  <c r="J29" i="9"/>
  <c r="K29" i="9"/>
  <c r="L29" i="9"/>
  <c r="M29" i="9"/>
  <c r="C30" i="9"/>
  <c r="D30" i="9"/>
  <c r="E30" i="9"/>
  <c r="F30" i="9"/>
  <c r="G30" i="9"/>
  <c r="H30" i="9"/>
  <c r="I30" i="9"/>
  <c r="J30" i="9"/>
  <c r="K30" i="9"/>
  <c r="L30" i="9"/>
  <c r="M30" i="9"/>
  <c r="C31" i="9"/>
  <c r="D31" i="9"/>
  <c r="E31" i="9"/>
  <c r="F31" i="9"/>
  <c r="G31" i="9"/>
  <c r="H31" i="9"/>
  <c r="I31" i="9"/>
  <c r="J31" i="9"/>
  <c r="K31" i="9"/>
  <c r="L31" i="9"/>
  <c r="M31" i="9"/>
  <c r="C32" i="9"/>
  <c r="D32" i="9"/>
  <c r="E32" i="9"/>
  <c r="F32" i="9"/>
  <c r="G32" i="9"/>
  <c r="H32" i="9"/>
  <c r="I32" i="9"/>
  <c r="J32" i="9"/>
  <c r="K32" i="9"/>
  <c r="L32" i="9"/>
  <c r="M32" i="9"/>
  <c r="C33" i="9"/>
  <c r="D33" i="9"/>
  <c r="E33" i="9"/>
  <c r="F33" i="9"/>
  <c r="G33" i="9"/>
  <c r="H33" i="9"/>
  <c r="I33" i="9"/>
  <c r="J33" i="9"/>
  <c r="K33" i="9"/>
  <c r="L33" i="9"/>
  <c r="M33" i="9"/>
  <c r="C34" i="9"/>
  <c r="D34" i="9"/>
  <c r="E34" i="9"/>
  <c r="F34" i="9"/>
  <c r="G34" i="9"/>
  <c r="H34" i="9"/>
  <c r="I34" i="9"/>
  <c r="J34" i="9"/>
  <c r="K34" i="9"/>
  <c r="L34" i="9"/>
  <c r="M34" i="9"/>
  <c r="C35" i="9"/>
  <c r="D35" i="9"/>
  <c r="E35" i="9"/>
  <c r="F35" i="9"/>
  <c r="G35" i="9"/>
  <c r="H35" i="9"/>
  <c r="I35" i="9"/>
  <c r="J35" i="9"/>
  <c r="K35" i="9"/>
  <c r="L35" i="9"/>
  <c r="M35" i="9"/>
  <c r="C36" i="9"/>
  <c r="D36" i="9"/>
  <c r="E36" i="9"/>
  <c r="F36" i="9"/>
  <c r="G36" i="9"/>
  <c r="H36" i="9"/>
  <c r="I36" i="9"/>
  <c r="J36" i="9"/>
  <c r="K36" i="9"/>
  <c r="L36" i="9"/>
  <c r="M36" i="9"/>
  <c r="C37" i="9"/>
  <c r="D37" i="9"/>
  <c r="E37" i="9"/>
  <c r="F37" i="9"/>
  <c r="G37" i="9"/>
  <c r="H37" i="9"/>
  <c r="I37" i="9"/>
  <c r="J37" i="9"/>
  <c r="K37" i="9"/>
  <c r="L37" i="9"/>
  <c r="M37" i="9"/>
  <c r="C38" i="9"/>
  <c r="D38" i="9"/>
  <c r="E38" i="9"/>
  <c r="F38" i="9"/>
  <c r="G38" i="9"/>
  <c r="H38" i="9"/>
  <c r="I38" i="9"/>
  <c r="J38" i="9"/>
  <c r="K38" i="9"/>
  <c r="L38" i="9"/>
  <c r="M38" i="9"/>
  <c r="B40" i="9"/>
  <c r="G40" i="9"/>
  <c r="E50" i="9"/>
  <c r="E44" i="9"/>
  <c r="F44" i="9"/>
  <c r="G44" i="9"/>
  <c r="H44" i="9"/>
  <c r="E45" i="9"/>
  <c r="H45" i="9"/>
  <c r="F45" i="9"/>
  <c r="G45" i="9"/>
  <c r="C7" i="1"/>
  <c r="C40" i="1"/>
  <c r="D7" i="1"/>
  <c r="E7" i="1"/>
  <c r="F7" i="1"/>
  <c r="G7" i="1"/>
  <c r="H7" i="1"/>
  <c r="H40" i="1"/>
  <c r="E51" i="1"/>
  <c r="I7" i="1"/>
  <c r="J7" i="1"/>
  <c r="K7" i="1"/>
  <c r="L7" i="1"/>
  <c r="M7" i="1"/>
  <c r="M40" i="1"/>
  <c r="C8" i="1"/>
  <c r="D8" i="1"/>
  <c r="E8" i="1"/>
  <c r="F8" i="1"/>
  <c r="G8" i="1"/>
  <c r="H8" i="1"/>
  <c r="I8" i="1"/>
  <c r="I40" i="1"/>
  <c r="J8" i="1"/>
  <c r="J40" i="1"/>
  <c r="K8" i="1"/>
  <c r="L8" i="1"/>
  <c r="M8" i="1"/>
  <c r="C9" i="1"/>
  <c r="D9" i="1"/>
  <c r="D40" i="1"/>
  <c r="E9" i="1"/>
  <c r="F9" i="1"/>
  <c r="G9" i="1"/>
  <c r="H9" i="1"/>
  <c r="I9" i="1"/>
  <c r="J9" i="1"/>
  <c r="K9" i="1"/>
  <c r="K40" i="1"/>
  <c r="L9" i="1"/>
  <c r="L40" i="1"/>
  <c r="M9" i="1"/>
  <c r="C10" i="1"/>
  <c r="D10" i="1"/>
  <c r="E10" i="1"/>
  <c r="F10" i="1"/>
  <c r="G10" i="1"/>
  <c r="H10" i="1"/>
  <c r="I10" i="1"/>
  <c r="J10" i="1"/>
  <c r="K10" i="1"/>
  <c r="L10" i="1"/>
  <c r="M10" i="1"/>
  <c r="C11" i="1"/>
  <c r="D11" i="1"/>
  <c r="E11" i="1"/>
  <c r="F11" i="1"/>
  <c r="G11" i="1"/>
  <c r="H11" i="1"/>
  <c r="I11" i="1"/>
  <c r="J11" i="1"/>
  <c r="K11" i="1"/>
  <c r="L11" i="1"/>
  <c r="M11" i="1"/>
  <c r="C12" i="1"/>
  <c r="D12" i="1"/>
  <c r="E12" i="1"/>
  <c r="F12" i="1"/>
  <c r="G12" i="1"/>
  <c r="G40" i="1"/>
  <c r="E50" i="1"/>
  <c r="H12" i="1"/>
  <c r="I12" i="1"/>
  <c r="J12" i="1"/>
  <c r="K12" i="1"/>
  <c r="L12" i="1"/>
  <c r="M12" i="1"/>
  <c r="C13" i="1"/>
  <c r="D13" i="1"/>
  <c r="E13" i="1"/>
  <c r="F13" i="1"/>
  <c r="G13" i="1"/>
  <c r="H13" i="1"/>
  <c r="I13" i="1"/>
  <c r="J13" i="1"/>
  <c r="K13" i="1"/>
  <c r="L13" i="1"/>
  <c r="M13" i="1"/>
  <c r="C14" i="1"/>
  <c r="D14" i="1"/>
  <c r="E14" i="1"/>
  <c r="F14" i="1"/>
  <c r="G14" i="1"/>
  <c r="H14" i="1"/>
  <c r="I14" i="1"/>
  <c r="J14" i="1"/>
  <c r="K14" i="1"/>
  <c r="L14" i="1"/>
  <c r="M14" i="1"/>
  <c r="C15" i="1"/>
  <c r="D15" i="1"/>
  <c r="E15" i="1"/>
  <c r="F15" i="1"/>
  <c r="F40" i="1"/>
  <c r="E49" i="1"/>
  <c r="G15" i="1"/>
  <c r="H15" i="1"/>
  <c r="I15" i="1"/>
  <c r="J15" i="1"/>
  <c r="K15" i="1"/>
  <c r="L15" i="1"/>
  <c r="M15" i="1"/>
  <c r="C16" i="1"/>
  <c r="D16" i="1"/>
  <c r="E16" i="1"/>
  <c r="F16" i="1"/>
  <c r="G16" i="1"/>
  <c r="H16" i="1"/>
  <c r="I16" i="1"/>
  <c r="J16" i="1"/>
  <c r="K16" i="1"/>
  <c r="L16" i="1"/>
  <c r="M16" i="1"/>
  <c r="C17" i="1"/>
  <c r="D17" i="1"/>
  <c r="E17" i="1"/>
  <c r="F17" i="1"/>
  <c r="G17" i="1"/>
  <c r="H17" i="1"/>
  <c r="I17" i="1"/>
  <c r="J17" i="1"/>
  <c r="K17" i="1"/>
  <c r="L17" i="1"/>
  <c r="M17" i="1"/>
  <c r="C18" i="1"/>
  <c r="D18" i="1"/>
  <c r="E18" i="1"/>
  <c r="F18" i="1"/>
  <c r="G18" i="1"/>
  <c r="H18" i="1"/>
  <c r="I18" i="1"/>
  <c r="J18" i="1"/>
  <c r="K18" i="1"/>
  <c r="L18" i="1"/>
  <c r="M18" i="1"/>
  <c r="C19" i="1"/>
  <c r="D19" i="1"/>
  <c r="E19" i="1"/>
  <c r="F19" i="1"/>
  <c r="G19" i="1"/>
  <c r="H19" i="1"/>
  <c r="I19" i="1"/>
  <c r="J19" i="1"/>
  <c r="K19" i="1"/>
  <c r="L19" i="1"/>
  <c r="M19" i="1"/>
  <c r="C20" i="1"/>
  <c r="D20" i="1"/>
  <c r="E20" i="1"/>
  <c r="F20" i="1"/>
  <c r="G20" i="1"/>
  <c r="H20" i="1"/>
  <c r="I20" i="1"/>
  <c r="J20" i="1"/>
  <c r="K20" i="1"/>
  <c r="L20" i="1"/>
  <c r="M20" i="1"/>
  <c r="C22" i="1"/>
  <c r="D22" i="1"/>
  <c r="E22" i="1"/>
  <c r="F22" i="1"/>
  <c r="G22" i="1"/>
  <c r="H22" i="1"/>
  <c r="I22" i="1"/>
  <c r="J22" i="1"/>
  <c r="K22" i="1"/>
  <c r="L22" i="1"/>
  <c r="M22" i="1"/>
  <c r="C23" i="1"/>
  <c r="D23" i="1"/>
  <c r="E23" i="1"/>
  <c r="F23" i="1"/>
  <c r="G23" i="1"/>
  <c r="H23" i="1"/>
  <c r="I23" i="1"/>
  <c r="J23" i="1"/>
  <c r="K23" i="1"/>
  <c r="L23" i="1"/>
  <c r="M23" i="1"/>
  <c r="C24" i="1"/>
  <c r="D24" i="1"/>
  <c r="E24" i="1"/>
  <c r="F24" i="1"/>
  <c r="G24" i="1"/>
  <c r="H24" i="1"/>
  <c r="I24" i="1"/>
  <c r="J24" i="1"/>
  <c r="K24" i="1"/>
  <c r="L24" i="1"/>
  <c r="M24" i="1"/>
  <c r="C26" i="1"/>
  <c r="D26" i="1"/>
  <c r="E26" i="1"/>
  <c r="F26" i="1"/>
  <c r="G26" i="1"/>
  <c r="H26" i="1"/>
  <c r="I26" i="1"/>
  <c r="J26" i="1"/>
  <c r="K26" i="1"/>
  <c r="L26" i="1"/>
  <c r="M26" i="1"/>
  <c r="C27" i="1"/>
  <c r="D27" i="1"/>
  <c r="E27" i="1"/>
  <c r="F27" i="1"/>
  <c r="G27" i="1"/>
  <c r="H27" i="1"/>
  <c r="I27" i="1"/>
  <c r="J27" i="1"/>
  <c r="K27" i="1"/>
  <c r="L27" i="1"/>
  <c r="M27" i="1"/>
  <c r="C28" i="1"/>
  <c r="D28" i="1"/>
  <c r="E28" i="1"/>
  <c r="F28" i="1"/>
  <c r="G28" i="1"/>
  <c r="H28" i="1"/>
  <c r="I28" i="1"/>
  <c r="J28" i="1"/>
  <c r="K28" i="1"/>
  <c r="L28" i="1"/>
  <c r="M28" i="1"/>
  <c r="C29" i="1"/>
  <c r="D29" i="1"/>
  <c r="E29" i="1"/>
  <c r="F29" i="1"/>
  <c r="G29" i="1"/>
  <c r="H29" i="1"/>
  <c r="I29" i="1"/>
  <c r="J29" i="1"/>
  <c r="K29" i="1"/>
  <c r="L29" i="1"/>
  <c r="M29" i="1"/>
  <c r="C30" i="1"/>
  <c r="D30" i="1"/>
  <c r="E30" i="1"/>
  <c r="F30" i="1"/>
  <c r="G30" i="1"/>
  <c r="H30" i="1"/>
  <c r="I30" i="1"/>
  <c r="J30" i="1"/>
  <c r="K30" i="1"/>
  <c r="L30" i="1"/>
  <c r="M30" i="1"/>
  <c r="C31" i="1"/>
  <c r="D31" i="1"/>
  <c r="E31" i="1"/>
  <c r="F31" i="1"/>
  <c r="G31" i="1"/>
  <c r="H31" i="1"/>
  <c r="I31" i="1"/>
  <c r="J31" i="1"/>
  <c r="K31" i="1"/>
  <c r="L31" i="1"/>
  <c r="M31" i="1"/>
  <c r="C32" i="1"/>
  <c r="D32" i="1"/>
  <c r="E32" i="1"/>
  <c r="F32" i="1"/>
  <c r="G32" i="1"/>
  <c r="H32" i="1"/>
  <c r="I32" i="1"/>
  <c r="J32" i="1"/>
  <c r="K32" i="1"/>
  <c r="L32" i="1"/>
  <c r="M32" i="1"/>
  <c r="C33" i="1"/>
  <c r="D33" i="1"/>
  <c r="E33" i="1"/>
  <c r="F33" i="1"/>
  <c r="G33" i="1"/>
  <c r="H33" i="1"/>
  <c r="I33" i="1"/>
  <c r="J33" i="1"/>
  <c r="K33" i="1"/>
  <c r="L33" i="1"/>
  <c r="M33" i="1"/>
  <c r="C34" i="1"/>
  <c r="D34" i="1"/>
  <c r="E34" i="1"/>
  <c r="F34" i="1"/>
  <c r="G34" i="1"/>
  <c r="H34" i="1"/>
  <c r="I34" i="1"/>
  <c r="J34" i="1"/>
  <c r="K34" i="1"/>
  <c r="L34" i="1"/>
  <c r="M34" i="1"/>
  <c r="C35" i="1"/>
  <c r="D35" i="1"/>
  <c r="E35" i="1"/>
  <c r="F35" i="1"/>
  <c r="G35" i="1"/>
  <c r="H35" i="1"/>
  <c r="I35" i="1"/>
  <c r="J35" i="1"/>
  <c r="K35" i="1"/>
  <c r="L35" i="1"/>
  <c r="M35" i="1"/>
  <c r="C36" i="1"/>
  <c r="D36" i="1"/>
  <c r="E36" i="1"/>
  <c r="F36" i="1"/>
  <c r="G36" i="1"/>
  <c r="H36" i="1"/>
  <c r="I36" i="1"/>
  <c r="J36" i="1"/>
  <c r="K36" i="1"/>
  <c r="L36" i="1"/>
  <c r="M36" i="1"/>
  <c r="C37" i="1"/>
  <c r="D37" i="1"/>
  <c r="E37" i="1"/>
  <c r="F37" i="1"/>
  <c r="G37" i="1"/>
  <c r="H37" i="1"/>
  <c r="I37" i="1"/>
  <c r="J37" i="1"/>
  <c r="K37" i="1"/>
  <c r="L37" i="1"/>
  <c r="M37" i="1"/>
  <c r="C38" i="1"/>
  <c r="D38" i="1"/>
  <c r="E38" i="1"/>
  <c r="F38" i="1"/>
  <c r="G38" i="1"/>
  <c r="H38" i="1"/>
  <c r="I38" i="1"/>
  <c r="J38" i="1"/>
  <c r="K38" i="1"/>
  <c r="L38" i="1"/>
  <c r="M38" i="1"/>
  <c r="B40" i="1"/>
  <c r="E40" i="1"/>
  <c r="F53" i="1"/>
  <c r="E44" i="1"/>
  <c r="F44" i="1"/>
  <c r="E45" i="1"/>
  <c r="H45" i="1"/>
  <c r="F45" i="1"/>
  <c r="C8" i="4"/>
  <c r="K8" i="4"/>
  <c r="M10" i="4"/>
  <c r="M14" i="4"/>
  <c r="M15" i="4"/>
  <c r="E16" i="4"/>
  <c r="F16" i="4"/>
  <c r="K16" i="4"/>
  <c r="L16" i="4"/>
  <c r="M16" i="4"/>
  <c r="M18" i="4"/>
  <c r="M19" i="4"/>
  <c r="K20" i="4"/>
  <c r="L20" i="4"/>
  <c r="M20" i="4"/>
  <c r="M24" i="4"/>
  <c r="L28" i="4"/>
  <c r="M28" i="4"/>
  <c r="B29" i="4"/>
  <c r="C29" i="4"/>
  <c r="E29" i="4"/>
  <c r="I29" i="4"/>
  <c r="J29" i="4"/>
  <c r="K29" i="4"/>
  <c r="M29" i="4"/>
  <c r="C30" i="4"/>
  <c r="D30" i="4"/>
  <c r="E30" i="4"/>
  <c r="F30" i="4"/>
  <c r="I30" i="4"/>
  <c r="K30" i="4"/>
  <c r="M32" i="4"/>
  <c r="J33" i="4"/>
  <c r="B35" i="4"/>
  <c r="C35" i="4"/>
  <c r="D35" i="4"/>
  <c r="E35" i="4"/>
  <c r="F35" i="4"/>
  <c r="I35" i="4"/>
  <c r="J35" i="4"/>
  <c r="K35" i="4"/>
  <c r="L35" i="4"/>
  <c r="M35" i="4"/>
  <c r="B36" i="4"/>
  <c r="C36" i="4"/>
  <c r="D36" i="4"/>
  <c r="E36" i="4"/>
  <c r="F36" i="4"/>
  <c r="I36" i="4"/>
  <c r="J36" i="4"/>
  <c r="K36" i="4"/>
  <c r="L36" i="4"/>
  <c r="M36" i="4"/>
  <c r="K37" i="4"/>
  <c r="L37" i="4"/>
  <c r="M37" i="4"/>
  <c r="G44" i="1"/>
  <c r="G45" i="1"/>
  <c r="F53" i="9"/>
</calcChain>
</file>

<file path=xl/sharedStrings.xml><?xml version="1.0" encoding="utf-8"?>
<sst xmlns="http://schemas.openxmlformats.org/spreadsheetml/2006/main" count="217" uniqueCount="87">
  <si>
    <t>PRODUITS</t>
  </si>
  <si>
    <t>Blé tendre</t>
  </si>
  <si>
    <t>Triticale</t>
  </si>
  <si>
    <t>Avoine</t>
  </si>
  <si>
    <t>Maïs</t>
  </si>
  <si>
    <t>Orge</t>
  </si>
  <si>
    <t>Sorgho</t>
  </si>
  <si>
    <t>VALEUR ALIMENTAIRE</t>
  </si>
  <si>
    <t xml:space="preserve">Lysine </t>
  </si>
  <si>
    <t>Méthionine</t>
  </si>
  <si>
    <t>Calcium</t>
  </si>
  <si>
    <t>Phosphore</t>
  </si>
  <si>
    <t>TOTAUX</t>
  </si>
  <si>
    <t>Pois fourrager</t>
  </si>
  <si>
    <t>Cellulose brute</t>
  </si>
  <si>
    <t>Sel de mer</t>
  </si>
  <si>
    <t>Protéines brutes</t>
  </si>
  <si>
    <t>Energie métab.</t>
  </si>
  <si>
    <t>Méthionine-Cyst</t>
  </si>
  <si>
    <t>Matière grasse</t>
  </si>
  <si>
    <t>Lupin blanc</t>
  </si>
  <si>
    <t>VALEUR ALIMENTAIRE POUR VOLAILLES</t>
  </si>
  <si>
    <t>Méthio-Cyst.</t>
  </si>
  <si>
    <t>En rouge : Estimation</t>
  </si>
  <si>
    <t>Sodium</t>
  </si>
  <si>
    <t>NORMES</t>
  </si>
  <si>
    <t>Pondeuse</t>
  </si>
  <si>
    <t>Gluten maïs</t>
  </si>
  <si>
    <t>Maxi</t>
  </si>
  <si>
    <t>Mini</t>
  </si>
  <si>
    <t>Far. Poisson 65</t>
  </si>
  <si>
    <t>%  ration</t>
  </si>
  <si>
    <t>Levure de brasserie</t>
  </si>
  <si>
    <t>Lentille</t>
  </si>
  <si>
    <t>Pois chiche</t>
  </si>
  <si>
    <t>Sarrasin</t>
  </si>
  <si>
    <t>Féverole fl. Blanches *</t>
  </si>
  <si>
    <t>Féverole fl. Colorées *</t>
  </si>
  <si>
    <t>Pois protéagineux *</t>
  </si>
  <si>
    <t>G.Soja extrudée</t>
  </si>
  <si>
    <t>G. Tournesol *</t>
  </si>
  <si>
    <t>G. Colza *</t>
  </si>
  <si>
    <t>T. Colza pression</t>
  </si>
  <si>
    <t>T. Lin pression</t>
  </si>
  <si>
    <t>T. Sésame pression</t>
  </si>
  <si>
    <t>T. Soja pression</t>
  </si>
  <si>
    <t>T. Tournesol pression</t>
  </si>
  <si>
    <t>T.Chanvre pression</t>
  </si>
  <si>
    <t>Luzerne 22 - 25%</t>
  </si>
  <si>
    <t>Carbonate Calcium</t>
  </si>
  <si>
    <t>Phosphate bicalcique</t>
  </si>
  <si>
    <t>Rapports Acides aminés</t>
  </si>
  <si>
    <t>Méthionine/Lysine</t>
  </si>
  <si>
    <t>Méthionine+ cystine/Lysine</t>
  </si>
  <si>
    <t>Tryptophane/Lysine</t>
  </si>
  <si>
    <t>Lysine digestible/EM(g/Mcal) :</t>
  </si>
  <si>
    <t xml:space="preserve"> (souhaitable : 2,3)</t>
  </si>
  <si>
    <t>Tryptophane</t>
  </si>
  <si>
    <t>(souhaitable : 0,50)</t>
  </si>
  <si>
    <t>(souhaitable : 0,94)</t>
  </si>
  <si>
    <t>CALCUL DE FORMULES ALIMENTAIRES PONDEUSES</t>
  </si>
  <si>
    <t>(en kcal EM)</t>
  </si>
  <si>
    <t>digestible (%)</t>
  </si>
  <si>
    <t>( en %)</t>
  </si>
  <si>
    <t>brutes (en %)</t>
  </si>
  <si>
    <t>disponible (%)</t>
  </si>
  <si>
    <t xml:space="preserve">Protéines </t>
  </si>
  <si>
    <t>Mat. grasses</t>
  </si>
  <si>
    <t xml:space="preserve">Cellulose </t>
  </si>
  <si>
    <t>PRODUITS (en %)</t>
  </si>
  <si>
    <t>(en kcal/EM)</t>
  </si>
  <si>
    <t>brutes ( en %)</t>
  </si>
  <si>
    <t>En noir : Valeurs d' après INRA 2002</t>
  </si>
  <si>
    <t xml:space="preserve"> (souhaitable : 2,4)</t>
  </si>
  <si>
    <t>(souhaitable : 0,22)</t>
  </si>
  <si>
    <t>Valeurs indicatives de la consommation pendant</t>
  </si>
  <si>
    <r>
      <t xml:space="preserve">la période de ponte </t>
    </r>
    <r>
      <rPr>
        <sz val="10"/>
        <rFont val="Arial"/>
        <family val="2"/>
      </rPr>
      <t>(pour un aliment à 2750 kcal/kg)</t>
    </r>
  </si>
  <si>
    <t>Age</t>
  </si>
  <si>
    <t>en semaines</t>
  </si>
  <si>
    <t>Aliment par</t>
  </si>
  <si>
    <t>pondeuse/jour (g)</t>
  </si>
  <si>
    <t>à partir de 25</t>
  </si>
  <si>
    <t>105 - 110</t>
  </si>
  <si>
    <t>110 - 120</t>
  </si>
  <si>
    <t>env.125</t>
  </si>
  <si>
    <t>(souhaitable : 0,52)</t>
  </si>
  <si>
    <t>Thréonine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</si>
</sst>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b/>
      <i/>
      <sz val="9"/>
      <color indexed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2" fontId="3" fillId="0" borderId="0" xfId="0" applyNumberFormat="1" applyFont="1"/>
    <xf numFmtId="0" fontId="9" fillId="0" borderId="0" xfId="0" applyFont="1"/>
    <xf numFmtId="0" fontId="10" fillId="0" borderId="0" xfId="0" applyFont="1"/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1" fillId="0" borderId="0" xfId="0" applyFont="1" applyAlignment="1" applyProtection="1">
      <alignment horizontal="center"/>
    </xf>
    <xf numFmtId="0" fontId="12" fillId="0" borderId="0" xfId="0" applyFont="1"/>
    <xf numFmtId="2" fontId="3" fillId="0" borderId="0" xfId="0" applyNumberFormat="1" applyFont="1" applyAlignment="1">
      <alignment horizontal="center"/>
    </xf>
    <xf numFmtId="0" fontId="13" fillId="0" borderId="0" xfId="0" applyFont="1"/>
    <xf numFmtId="164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6" xfId="0" applyFont="1" applyBorder="1"/>
    <xf numFmtId="0" fontId="3" fillId="0" borderId="7" xfId="0" applyFont="1" applyBorder="1"/>
    <xf numFmtId="0" fontId="0" fillId="0" borderId="8" xfId="0" applyBorder="1"/>
    <xf numFmtId="0" fontId="0" fillId="0" borderId="1" xfId="0" applyBorder="1"/>
    <xf numFmtId="0" fontId="0" fillId="0" borderId="6" xfId="0" applyBorder="1"/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11.42578125" defaultRowHeight="12.75" x14ac:dyDescent="0.2"/>
  <cols>
    <col min="1" max="1" width="21.7109375" bestFit="1" customWidth="1"/>
  </cols>
  <sheetData>
    <row r="1" spans="1:13" x14ac:dyDescent="0.2">
      <c r="D1" s="5" t="s">
        <v>21</v>
      </c>
      <c r="E1" s="5"/>
      <c r="F1" s="5"/>
    </row>
    <row r="4" spans="1:13" x14ac:dyDescent="0.2">
      <c r="A4" s="5" t="s">
        <v>7</v>
      </c>
      <c r="B4" s="6" t="s">
        <v>17</v>
      </c>
      <c r="C4" s="7" t="s">
        <v>66</v>
      </c>
      <c r="D4" s="7" t="s">
        <v>8</v>
      </c>
      <c r="E4" s="7" t="s">
        <v>9</v>
      </c>
      <c r="F4" s="6" t="s">
        <v>22</v>
      </c>
      <c r="G4" s="7" t="s">
        <v>86</v>
      </c>
      <c r="H4" s="7" t="s">
        <v>57</v>
      </c>
      <c r="I4" s="6" t="s">
        <v>67</v>
      </c>
      <c r="J4" s="7" t="s">
        <v>68</v>
      </c>
      <c r="K4" s="7" t="s">
        <v>10</v>
      </c>
      <c r="L4" s="7" t="s">
        <v>11</v>
      </c>
      <c r="M4" s="7" t="s">
        <v>24</v>
      </c>
    </row>
    <row r="5" spans="1:13" x14ac:dyDescent="0.2">
      <c r="A5" s="5" t="s">
        <v>69</v>
      </c>
      <c r="B5" s="13" t="s">
        <v>70</v>
      </c>
      <c r="C5" s="6" t="s">
        <v>71</v>
      </c>
      <c r="D5" s="7" t="s">
        <v>62</v>
      </c>
      <c r="E5" s="7" t="s">
        <v>62</v>
      </c>
      <c r="F5" s="7" t="s">
        <v>62</v>
      </c>
      <c r="G5" s="7" t="s">
        <v>62</v>
      </c>
      <c r="H5" s="7" t="s">
        <v>62</v>
      </c>
      <c r="I5" s="6" t="s">
        <v>64</v>
      </c>
      <c r="J5" s="45" t="s">
        <v>63</v>
      </c>
      <c r="K5" s="45" t="s">
        <v>63</v>
      </c>
      <c r="L5" s="7" t="s">
        <v>65</v>
      </c>
      <c r="M5" s="45" t="s">
        <v>63</v>
      </c>
    </row>
    <row r="7" spans="1:13" x14ac:dyDescent="0.2">
      <c r="A7" s="10" t="s">
        <v>3</v>
      </c>
      <c r="B7" s="16">
        <v>2350</v>
      </c>
      <c r="C7" s="16">
        <v>9.8000000000000007</v>
      </c>
      <c r="D7" s="16">
        <v>0.35</v>
      </c>
      <c r="E7" s="16">
        <v>0.15</v>
      </c>
      <c r="F7" s="16">
        <v>0.43</v>
      </c>
      <c r="G7" s="16">
        <v>0.28000000000000003</v>
      </c>
      <c r="H7" s="14">
        <v>0.1</v>
      </c>
      <c r="I7" s="16">
        <v>4.8</v>
      </c>
      <c r="J7" s="16">
        <v>12.4</v>
      </c>
      <c r="K7" s="16">
        <v>0.11</v>
      </c>
      <c r="L7" s="16">
        <v>0.08</v>
      </c>
      <c r="M7" s="1">
        <v>0.01</v>
      </c>
    </row>
    <row r="8" spans="1:13" x14ac:dyDescent="0.2">
      <c r="A8" s="10" t="s">
        <v>1</v>
      </c>
      <c r="B8" s="16">
        <v>2980</v>
      </c>
      <c r="C8" s="16">
        <f>1*10.5</f>
        <v>10.5</v>
      </c>
      <c r="D8" s="16">
        <v>0.26</v>
      </c>
      <c r="E8" s="16">
        <v>0.15</v>
      </c>
      <c r="F8" s="16">
        <v>0.38</v>
      </c>
      <c r="G8" s="16">
        <v>0.27</v>
      </c>
      <c r="H8" s="14">
        <v>0.1</v>
      </c>
      <c r="I8" s="16">
        <v>1.5</v>
      </c>
      <c r="J8" s="16">
        <v>2.2000000000000002</v>
      </c>
      <c r="K8" s="16">
        <f>1*0.07</f>
        <v>7.0000000000000007E-2</v>
      </c>
      <c r="L8" s="16">
        <v>0.18</v>
      </c>
      <c r="M8" s="1">
        <v>0.01</v>
      </c>
    </row>
    <row r="9" spans="1:13" x14ac:dyDescent="0.2">
      <c r="A9" s="10" t="s">
        <v>4</v>
      </c>
      <c r="B9" s="16">
        <v>3200</v>
      </c>
      <c r="C9" s="16">
        <v>8.1</v>
      </c>
      <c r="D9" s="16">
        <v>0.21</v>
      </c>
      <c r="E9" s="16">
        <v>0.16</v>
      </c>
      <c r="F9" s="16">
        <v>0.35</v>
      </c>
      <c r="G9" s="16">
        <v>0.27</v>
      </c>
      <c r="H9" s="14">
        <v>0.04</v>
      </c>
      <c r="I9" s="16">
        <v>3.7</v>
      </c>
      <c r="J9" s="16">
        <v>2.2000000000000002</v>
      </c>
      <c r="K9" s="16">
        <v>0.04</v>
      </c>
      <c r="L9" s="16">
        <v>0.06</v>
      </c>
      <c r="M9" s="1">
        <v>4.0000000000000001E-3</v>
      </c>
    </row>
    <row r="10" spans="1:13" x14ac:dyDescent="0.2">
      <c r="A10" s="10" t="s">
        <v>5</v>
      </c>
      <c r="B10" s="16">
        <v>2750</v>
      </c>
      <c r="C10" s="16">
        <v>10.1</v>
      </c>
      <c r="D10" s="26">
        <v>0.3</v>
      </c>
      <c r="E10" s="16">
        <v>0.14000000000000001</v>
      </c>
      <c r="F10" s="16">
        <v>0.33</v>
      </c>
      <c r="G10" s="16">
        <v>0.26</v>
      </c>
      <c r="H10" s="14">
        <v>0.1</v>
      </c>
      <c r="I10" s="16">
        <v>1.8</v>
      </c>
      <c r="J10" s="16">
        <v>4.5999999999999996</v>
      </c>
      <c r="K10" s="16">
        <v>7.0000000000000007E-2</v>
      </c>
      <c r="L10" s="26">
        <v>0.2</v>
      </c>
      <c r="M10" s="1">
        <f>1*0.01</f>
        <v>0.01</v>
      </c>
    </row>
    <row r="11" spans="1:13" x14ac:dyDescent="0.2">
      <c r="A11" s="10" t="s">
        <v>6</v>
      </c>
      <c r="B11" s="16">
        <v>3300</v>
      </c>
      <c r="C11" s="16">
        <v>9.4</v>
      </c>
      <c r="D11" s="16">
        <v>0.19</v>
      </c>
      <c r="E11" s="16">
        <v>0.14000000000000001</v>
      </c>
      <c r="F11" s="16">
        <v>0.28999999999999998</v>
      </c>
      <c r="G11" s="16">
        <v>0.27</v>
      </c>
      <c r="H11" s="14">
        <v>0.09</v>
      </c>
      <c r="I11" s="16">
        <v>2.9</v>
      </c>
      <c r="J11" s="16">
        <v>2.4</v>
      </c>
      <c r="K11" s="16">
        <v>0.03</v>
      </c>
      <c r="L11" s="16">
        <v>0.06</v>
      </c>
      <c r="M11" s="1">
        <v>0.02</v>
      </c>
    </row>
    <row r="12" spans="1:13" x14ac:dyDescent="0.2">
      <c r="A12" s="10" t="s">
        <v>2</v>
      </c>
      <c r="B12" s="16">
        <v>2960</v>
      </c>
      <c r="C12" s="16">
        <v>9.6</v>
      </c>
      <c r="D12" s="16">
        <v>0.33</v>
      </c>
      <c r="E12" s="16">
        <v>0.15</v>
      </c>
      <c r="F12" s="16">
        <v>0.36</v>
      </c>
      <c r="G12" s="16">
        <v>0.28999999999999998</v>
      </c>
      <c r="H12" s="14">
        <v>0.1</v>
      </c>
      <c r="I12" s="16">
        <v>1.4</v>
      </c>
      <c r="J12" s="16">
        <v>2.2999999999999998</v>
      </c>
      <c r="K12" s="16">
        <v>7.0000000000000007E-2</v>
      </c>
      <c r="L12" s="16">
        <v>0.23</v>
      </c>
      <c r="M12" s="1">
        <v>0.01</v>
      </c>
    </row>
    <row r="13" spans="1:13" x14ac:dyDescent="0.2">
      <c r="A13" s="9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x14ac:dyDescent="0.2">
      <c r="A14" s="10" t="s">
        <v>36</v>
      </c>
      <c r="B14" s="16">
        <v>2490</v>
      </c>
      <c r="C14" s="16">
        <v>26.8</v>
      </c>
      <c r="D14" s="16">
        <v>1.57</v>
      </c>
      <c r="E14" s="16">
        <v>0.16</v>
      </c>
      <c r="F14" s="16">
        <v>0.41</v>
      </c>
      <c r="G14" s="16">
        <v>0.83</v>
      </c>
      <c r="H14" s="14">
        <v>0.18</v>
      </c>
      <c r="I14" s="16">
        <v>1.1000000000000001</v>
      </c>
      <c r="J14" s="16">
        <v>7.5</v>
      </c>
      <c r="K14" s="16">
        <v>0.14000000000000001</v>
      </c>
      <c r="L14" s="16">
        <v>0.11</v>
      </c>
      <c r="M14" s="1">
        <f t="shared" ref="M14:M20" si="0">1*0.01</f>
        <v>0.01</v>
      </c>
    </row>
    <row r="15" spans="1:13" x14ac:dyDescent="0.2">
      <c r="A15" s="10" t="s">
        <v>37</v>
      </c>
      <c r="B15" s="16">
        <v>2330</v>
      </c>
      <c r="C15" s="16">
        <v>25.4</v>
      </c>
      <c r="D15" s="14">
        <v>1.46</v>
      </c>
      <c r="E15" s="14">
        <v>0.15</v>
      </c>
      <c r="F15" s="14">
        <v>0.37</v>
      </c>
      <c r="G15" s="14">
        <v>0.83</v>
      </c>
      <c r="H15" s="14">
        <v>0.17</v>
      </c>
      <c r="I15" s="16">
        <v>1.3</v>
      </c>
      <c r="J15" s="16">
        <v>7.9</v>
      </c>
      <c r="K15" s="16">
        <v>0.14000000000000001</v>
      </c>
      <c r="L15" s="16">
        <v>0.11</v>
      </c>
      <c r="M15" s="1">
        <f t="shared" si="0"/>
        <v>0.01</v>
      </c>
    </row>
    <row r="16" spans="1:13" x14ac:dyDescent="0.2">
      <c r="A16" s="9" t="s">
        <v>33</v>
      </c>
      <c r="B16" s="14">
        <v>2500</v>
      </c>
      <c r="C16" s="14">
        <v>24</v>
      </c>
      <c r="D16" s="14">
        <v>1.6</v>
      </c>
      <c r="E16" s="14">
        <f>1*0.23</f>
        <v>0.23</v>
      </c>
      <c r="F16" s="14">
        <f>1*0.52</f>
        <v>0.52</v>
      </c>
      <c r="G16" s="29">
        <v>1</v>
      </c>
      <c r="H16" s="14"/>
      <c r="I16" s="27">
        <v>2</v>
      </c>
      <c r="J16" s="27">
        <v>2</v>
      </c>
      <c r="K16" s="14">
        <f>1*0.08</f>
        <v>0.08</v>
      </c>
      <c r="L16" s="14">
        <f>1*0.14</f>
        <v>0.14000000000000001</v>
      </c>
      <c r="M16" s="14">
        <f t="shared" si="0"/>
        <v>0.01</v>
      </c>
    </row>
    <row r="17" spans="1:13" x14ac:dyDescent="0.2">
      <c r="A17" s="10" t="s">
        <v>20</v>
      </c>
      <c r="B17" s="14">
        <v>2290</v>
      </c>
      <c r="C17" s="16">
        <v>34.1</v>
      </c>
      <c r="D17" s="16">
        <v>1.53</v>
      </c>
      <c r="E17" s="16">
        <v>0.24</v>
      </c>
      <c r="F17" s="16">
        <v>0.77</v>
      </c>
      <c r="G17" s="16">
        <v>1.19</v>
      </c>
      <c r="H17" s="14">
        <v>0.18</v>
      </c>
      <c r="I17" s="16">
        <v>8.4</v>
      </c>
      <c r="J17" s="16">
        <v>11.4</v>
      </c>
      <c r="K17" s="16">
        <v>0.34</v>
      </c>
      <c r="L17" s="16">
        <v>0.09</v>
      </c>
      <c r="M17" s="1">
        <v>0.04</v>
      </c>
    </row>
    <row r="18" spans="1:13" x14ac:dyDescent="0.2">
      <c r="A18" s="10" t="s">
        <v>38</v>
      </c>
      <c r="B18" s="16">
        <v>2490</v>
      </c>
      <c r="C18" s="16">
        <v>20.7</v>
      </c>
      <c r="D18" s="16">
        <v>1.19</v>
      </c>
      <c r="E18" s="14">
        <v>0.16</v>
      </c>
      <c r="F18" s="14">
        <v>0.36</v>
      </c>
      <c r="G18" s="14">
        <v>0.64</v>
      </c>
      <c r="H18" s="14">
        <v>0.13</v>
      </c>
      <c r="I18" s="28">
        <v>1</v>
      </c>
      <c r="J18" s="16">
        <v>5.2</v>
      </c>
      <c r="K18" s="16">
        <v>0.11</v>
      </c>
      <c r="L18" s="26">
        <v>0.1</v>
      </c>
      <c r="M18" s="1">
        <f t="shared" si="0"/>
        <v>0.01</v>
      </c>
    </row>
    <row r="19" spans="1:13" x14ac:dyDescent="0.2">
      <c r="A19" s="22" t="s">
        <v>13</v>
      </c>
      <c r="B19" s="14">
        <v>2400</v>
      </c>
      <c r="C19" s="14">
        <v>19.3</v>
      </c>
      <c r="D19" s="14">
        <v>1.06</v>
      </c>
      <c r="E19" s="14">
        <v>0.15</v>
      </c>
      <c r="F19" s="14">
        <v>0.32</v>
      </c>
      <c r="G19" s="14">
        <v>0.6</v>
      </c>
      <c r="H19" s="14">
        <v>0.13</v>
      </c>
      <c r="I19" s="14">
        <v>1.5</v>
      </c>
      <c r="J19" s="14">
        <v>4.5999999999999996</v>
      </c>
      <c r="K19" s="16">
        <v>0.18</v>
      </c>
      <c r="L19" s="26">
        <v>0.1</v>
      </c>
      <c r="M19" s="1">
        <f t="shared" si="0"/>
        <v>0.01</v>
      </c>
    </row>
    <row r="20" spans="1:13" x14ac:dyDescent="0.2">
      <c r="A20" s="22" t="s">
        <v>34</v>
      </c>
      <c r="B20" s="14">
        <v>2650</v>
      </c>
      <c r="C20" s="14">
        <v>19.899999999999999</v>
      </c>
      <c r="D20" s="14">
        <v>1.08</v>
      </c>
      <c r="E20" s="14">
        <v>0.17</v>
      </c>
      <c r="F20" s="14">
        <v>0.33</v>
      </c>
      <c r="G20" s="14">
        <v>0.55000000000000004</v>
      </c>
      <c r="H20" s="14">
        <v>0.13</v>
      </c>
      <c r="I20" s="27">
        <v>5</v>
      </c>
      <c r="J20" s="27">
        <v>4</v>
      </c>
      <c r="K20" s="14">
        <f>1*0.08</f>
        <v>0.08</v>
      </c>
      <c r="L20" s="14">
        <f>1*0.14</f>
        <v>0.14000000000000001</v>
      </c>
      <c r="M20" s="14">
        <f t="shared" si="0"/>
        <v>0.01</v>
      </c>
    </row>
    <row r="21" spans="1:13" x14ac:dyDescent="0.2">
      <c r="A21" s="10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"/>
    </row>
    <row r="22" spans="1:13" x14ac:dyDescent="0.2">
      <c r="A22" s="10" t="s">
        <v>39</v>
      </c>
      <c r="B22" s="16">
        <v>3450</v>
      </c>
      <c r="C22" s="16">
        <v>34.799999999999997</v>
      </c>
      <c r="D22" s="16">
        <v>1.9</v>
      </c>
      <c r="E22" s="16">
        <v>0.45</v>
      </c>
      <c r="F22" s="16">
        <v>0.89</v>
      </c>
      <c r="G22" s="16">
        <v>1.19</v>
      </c>
      <c r="H22" s="14">
        <v>0.34</v>
      </c>
      <c r="I22" s="16">
        <v>17.899999999999999</v>
      </c>
      <c r="J22" s="16">
        <v>5.2</v>
      </c>
      <c r="K22" s="16">
        <v>0.31</v>
      </c>
      <c r="L22" s="14">
        <v>0.17</v>
      </c>
      <c r="M22" s="1">
        <v>0.08</v>
      </c>
    </row>
    <row r="23" spans="1:13" x14ac:dyDescent="0.2">
      <c r="A23" s="10" t="s">
        <v>40</v>
      </c>
      <c r="B23" s="16">
        <v>4370</v>
      </c>
      <c r="C23" s="16">
        <v>16</v>
      </c>
      <c r="D23" s="14">
        <v>0.51</v>
      </c>
      <c r="E23" s="14">
        <v>0.31</v>
      </c>
      <c r="F23" s="14">
        <v>0.54</v>
      </c>
      <c r="G23" s="14">
        <v>0.48</v>
      </c>
      <c r="H23" s="14">
        <v>0.17</v>
      </c>
      <c r="I23" s="16">
        <v>44.6</v>
      </c>
      <c r="J23" s="16">
        <v>15.5</v>
      </c>
      <c r="K23" s="16">
        <v>0.28000000000000003</v>
      </c>
      <c r="L23" s="14">
        <v>0.13</v>
      </c>
      <c r="M23" s="1">
        <v>0.01</v>
      </c>
    </row>
    <row r="24" spans="1:13" x14ac:dyDescent="0.2">
      <c r="A24" s="10" t="s">
        <v>41</v>
      </c>
      <c r="B24" s="16">
        <v>3390</v>
      </c>
      <c r="C24" s="16">
        <v>19.100000000000001</v>
      </c>
      <c r="D24" s="16">
        <v>1.04</v>
      </c>
      <c r="E24" s="16">
        <v>0.36</v>
      </c>
      <c r="F24" s="16">
        <v>0.71</v>
      </c>
      <c r="G24" s="16">
        <v>0.73</v>
      </c>
      <c r="H24" s="14">
        <v>0.18</v>
      </c>
      <c r="I24" s="16">
        <v>42</v>
      </c>
      <c r="J24" s="16">
        <v>8.1999999999999993</v>
      </c>
      <c r="K24" s="16">
        <v>0.47</v>
      </c>
      <c r="L24" s="16">
        <v>0.17</v>
      </c>
      <c r="M24" s="1">
        <f>1*0.04</f>
        <v>0.04</v>
      </c>
    </row>
    <row r="25" spans="1:13" x14ac:dyDescent="0.2">
      <c r="A25" s="10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"/>
    </row>
    <row r="26" spans="1:13" s="4" customFormat="1" x14ac:dyDescent="0.2">
      <c r="A26" s="9" t="s">
        <v>42</v>
      </c>
      <c r="B26" s="14">
        <v>2190</v>
      </c>
      <c r="C26" s="14">
        <v>30</v>
      </c>
      <c r="D26" s="14">
        <v>1.29</v>
      </c>
      <c r="E26" s="14">
        <v>0.55000000000000004</v>
      </c>
      <c r="F26" s="14">
        <v>1.17</v>
      </c>
      <c r="G26" s="14">
        <v>1.08</v>
      </c>
      <c r="H26" s="29">
        <v>0.3</v>
      </c>
      <c r="I26" s="27">
        <v>10</v>
      </c>
      <c r="J26" s="27">
        <v>12</v>
      </c>
      <c r="K26" s="14">
        <v>0.83</v>
      </c>
      <c r="L26" s="14">
        <v>0.28999999999999998</v>
      </c>
      <c r="M26" s="14">
        <v>0.06</v>
      </c>
    </row>
    <row r="27" spans="1:13" s="4" customFormat="1" x14ac:dyDescent="0.2">
      <c r="A27" s="10" t="s">
        <v>43</v>
      </c>
      <c r="B27" s="14">
        <v>1580</v>
      </c>
      <c r="C27" s="16">
        <v>30.9</v>
      </c>
      <c r="D27" s="16">
        <v>0.94</v>
      </c>
      <c r="E27" s="16">
        <v>0.44</v>
      </c>
      <c r="F27" s="16">
        <v>0.85</v>
      </c>
      <c r="G27" s="16">
        <v>0.85</v>
      </c>
      <c r="H27" s="14">
        <v>0.38</v>
      </c>
      <c r="I27" s="28">
        <v>8.1</v>
      </c>
      <c r="J27" s="28">
        <v>10.199999999999999</v>
      </c>
      <c r="K27" s="16">
        <v>0.42</v>
      </c>
      <c r="L27" s="16">
        <v>0.21</v>
      </c>
      <c r="M27" s="16">
        <v>0.08</v>
      </c>
    </row>
    <row r="28" spans="1:13" s="4" customFormat="1" x14ac:dyDescent="0.2">
      <c r="A28" s="9" t="s">
        <v>44</v>
      </c>
      <c r="B28" s="14">
        <v>2900</v>
      </c>
      <c r="C28" s="16">
        <v>43.4</v>
      </c>
      <c r="D28" s="14">
        <v>0.92</v>
      </c>
      <c r="E28" s="14">
        <v>1.02</v>
      </c>
      <c r="F28" s="14">
        <v>1.67</v>
      </c>
      <c r="G28" s="14">
        <v>1.02</v>
      </c>
      <c r="H28" s="14">
        <v>0.43</v>
      </c>
      <c r="I28" s="28">
        <v>11</v>
      </c>
      <c r="J28" s="28">
        <v>6</v>
      </c>
      <c r="K28" s="16">
        <v>0.17</v>
      </c>
      <c r="L28" s="14">
        <f>1*0.1</f>
        <v>0.1</v>
      </c>
      <c r="M28" s="16">
        <f>1*0.01</f>
        <v>0.01</v>
      </c>
    </row>
    <row r="29" spans="1:13" x14ac:dyDescent="0.2">
      <c r="A29" s="9" t="s">
        <v>45</v>
      </c>
      <c r="B29" s="14">
        <f>1*2550</f>
        <v>2550</v>
      </c>
      <c r="C29" s="14">
        <f>1*43.5</f>
        <v>43.5</v>
      </c>
      <c r="D29" s="14">
        <v>2.39</v>
      </c>
      <c r="E29" s="14">
        <f>1*0.54</f>
        <v>0.54</v>
      </c>
      <c r="F29" s="14">
        <v>1.1100000000000001</v>
      </c>
      <c r="G29" s="14">
        <v>1.51</v>
      </c>
      <c r="H29" s="14">
        <v>0.5</v>
      </c>
      <c r="I29" s="14">
        <f>1*6.3</f>
        <v>6.3</v>
      </c>
      <c r="J29" s="14">
        <f>1*6.5</f>
        <v>6.5</v>
      </c>
      <c r="K29" s="14">
        <f>1*0.35</f>
        <v>0.35</v>
      </c>
      <c r="L29" s="14">
        <v>0.14000000000000001</v>
      </c>
      <c r="M29" s="14">
        <f>1*0.01</f>
        <v>0.01</v>
      </c>
    </row>
    <row r="30" spans="1:13" x14ac:dyDescent="0.2">
      <c r="A30" s="9" t="s">
        <v>46</v>
      </c>
      <c r="B30" s="14">
        <v>1780</v>
      </c>
      <c r="C30" s="14">
        <f>1*25</f>
        <v>25</v>
      </c>
      <c r="D30" s="14">
        <f>1*0.73</f>
        <v>0.73</v>
      </c>
      <c r="E30" s="14">
        <f>1*0.48</f>
        <v>0.48</v>
      </c>
      <c r="F30" s="14">
        <f>1*0.83</f>
        <v>0.83</v>
      </c>
      <c r="G30" s="14">
        <v>0.79</v>
      </c>
      <c r="H30" s="14">
        <v>0.26</v>
      </c>
      <c r="I30" s="14">
        <f>1*11.4</f>
        <v>11.4</v>
      </c>
      <c r="J30" s="14">
        <v>25</v>
      </c>
      <c r="K30" s="14">
        <f>1*0.37</f>
        <v>0.37</v>
      </c>
      <c r="L30" s="14">
        <v>0.17</v>
      </c>
      <c r="M30" s="14">
        <v>0.02</v>
      </c>
    </row>
    <row r="31" spans="1:13" s="13" customFormat="1" x14ac:dyDescent="0.2">
      <c r="A31" s="10" t="s">
        <v>48</v>
      </c>
      <c r="B31" s="16">
        <v>1050</v>
      </c>
      <c r="C31" s="16">
        <v>18.899999999999999</v>
      </c>
      <c r="D31" s="16">
        <v>0.63</v>
      </c>
      <c r="E31" s="16">
        <v>0.25</v>
      </c>
      <c r="F31" s="16">
        <v>0.36</v>
      </c>
      <c r="G31" s="16">
        <v>0.6</v>
      </c>
      <c r="H31" s="14">
        <v>0.14000000000000001</v>
      </c>
      <c r="I31" s="16">
        <v>3.1</v>
      </c>
      <c r="J31" s="16">
        <v>18.899999999999999</v>
      </c>
      <c r="K31" s="16">
        <v>2.2599999999999998</v>
      </c>
      <c r="L31" s="26">
        <v>0.2</v>
      </c>
      <c r="M31" s="1">
        <v>0.02</v>
      </c>
    </row>
    <row r="32" spans="1:13" s="13" customFormat="1" x14ac:dyDescent="0.2">
      <c r="A32" s="12" t="s">
        <v>27</v>
      </c>
      <c r="B32" s="16">
        <v>3590</v>
      </c>
      <c r="C32" s="16">
        <v>60.6</v>
      </c>
      <c r="D32" s="16">
        <v>0.96</v>
      </c>
      <c r="E32" s="16">
        <v>1.43</v>
      </c>
      <c r="F32" s="16">
        <v>0.24</v>
      </c>
      <c r="G32" s="16">
        <v>1.89</v>
      </c>
      <c r="H32" s="14">
        <v>0.25</v>
      </c>
      <c r="I32" s="16">
        <v>2.5</v>
      </c>
      <c r="J32" s="16">
        <v>1.1000000000000001</v>
      </c>
      <c r="K32" s="16">
        <v>7.0000000000000007E-2</v>
      </c>
      <c r="L32" s="16">
        <v>0.1</v>
      </c>
      <c r="M32" s="1">
        <f>1*0.02</f>
        <v>0.02</v>
      </c>
    </row>
    <row r="33" spans="1:13" x14ac:dyDescent="0.2">
      <c r="A33" s="12" t="s">
        <v>30</v>
      </c>
      <c r="B33" s="17">
        <v>3220</v>
      </c>
      <c r="C33" s="17">
        <v>65.3</v>
      </c>
      <c r="D33" s="17">
        <v>4.3499999999999996</v>
      </c>
      <c r="E33" s="17">
        <v>1.65</v>
      </c>
      <c r="F33" s="17">
        <v>2.0699999999999998</v>
      </c>
      <c r="G33" s="17">
        <v>2.46</v>
      </c>
      <c r="H33" s="14">
        <v>0.57999999999999996</v>
      </c>
      <c r="I33" s="17">
        <v>8.9</v>
      </c>
      <c r="J33" s="17">
        <f>1*0</f>
        <v>0</v>
      </c>
      <c r="K33" s="17">
        <v>3.85</v>
      </c>
      <c r="L33" s="17">
        <v>2.14</v>
      </c>
      <c r="M33" s="17">
        <v>1.1299999999999999</v>
      </c>
    </row>
    <row r="34" spans="1:13" x14ac:dyDescent="0.2">
      <c r="A34" s="12" t="s">
        <v>32</v>
      </c>
      <c r="B34" s="14">
        <v>2090</v>
      </c>
      <c r="C34" s="17">
        <v>46.5</v>
      </c>
      <c r="D34" s="14">
        <v>2.2000000000000002</v>
      </c>
      <c r="E34" s="14">
        <v>0.5</v>
      </c>
      <c r="F34" s="14">
        <v>0.65</v>
      </c>
      <c r="G34" s="14">
        <v>1.3</v>
      </c>
      <c r="H34" s="14">
        <v>0.27</v>
      </c>
      <c r="I34" s="17">
        <v>3.9</v>
      </c>
      <c r="J34" s="17">
        <v>1.9</v>
      </c>
      <c r="K34" s="17">
        <v>0.32</v>
      </c>
      <c r="L34" s="14">
        <v>1.01</v>
      </c>
      <c r="M34" s="17">
        <v>0.17</v>
      </c>
    </row>
    <row r="35" spans="1:13" x14ac:dyDescent="0.2">
      <c r="A35" s="12" t="s">
        <v>15</v>
      </c>
      <c r="B35" s="1">
        <f t="shared" ref="B35:L36" si="1">1*0</f>
        <v>0</v>
      </c>
      <c r="C35" s="1">
        <f t="shared" si="1"/>
        <v>0</v>
      </c>
      <c r="D35" s="1">
        <f t="shared" si="1"/>
        <v>0</v>
      </c>
      <c r="E35" s="1">
        <f t="shared" si="1"/>
        <v>0</v>
      </c>
      <c r="F35" s="1">
        <f t="shared" si="1"/>
        <v>0</v>
      </c>
      <c r="G35" s="1">
        <v>0</v>
      </c>
      <c r="H35" s="1">
        <v>0</v>
      </c>
      <c r="I35" s="1">
        <f t="shared" si="1"/>
        <v>0</v>
      </c>
      <c r="J35" s="1">
        <f t="shared" si="1"/>
        <v>0</v>
      </c>
      <c r="K35" s="1">
        <f>1*0.8</f>
        <v>0.8</v>
      </c>
      <c r="L35" s="1">
        <f>1*0</f>
        <v>0</v>
      </c>
      <c r="M35" s="1">
        <f>1*35.4</f>
        <v>35.4</v>
      </c>
    </row>
    <row r="36" spans="1:13" x14ac:dyDescent="0.2">
      <c r="A36" s="10" t="s">
        <v>49</v>
      </c>
      <c r="B36" s="1">
        <f>1*0</f>
        <v>0</v>
      </c>
      <c r="C36" s="1">
        <f t="shared" si="1"/>
        <v>0</v>
      </c>
      <c r="D36" s="1">
        <f t="shared" si="1"/>
        <v>0</v>
      </c>
      <c r="E36" s="1">
        <f t="shared" si="1"/>
        <v>0</v>
      </c>
      <c r="F36" s="1">
        <f t="shared" si="1"/>
        <v>0</v>
      </c>
      <c r="G36" s="1">
        <v>0</v>
      </c>
      <c r="H36" s="1">
        <v>0</v>
      </c>
      <c r="I36" s="1">
        <f t="shared" si="1"/>
        <v>0</v>
      </c>
      <c r="J36" s="1">
        <f t="shared" si="1"/>
        <v>0</v>
      </c>
      <c r="K36" s="1">
        <f>1*38</f>
        <v>38</v>
      </c>
      <c r="L36" s="1">
        <f t="shared" si="1"/>
        <v>0</v>
      </c>
      <c r="M36" s="1">
        <f>1*0.02</f>
        <v>0.02</v>
      </c>
    </row>
    <row r="37" spans="1:13" x14ac:dyDescent="0.2">
      <c r="A37" s="10" t="s">
        <v>50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f>1*24.5</f>
        <v>24.5</v>
      </c>
      <c r="L37" s="1">
        <f>1*16.74</f>
        <v>16.739999999999998</v>
      </c>
      <c r="M37" s="1">
        <f>1*0.04</f>
        <v>0.04</v>
      </c>
    </row>
    <row r="38" spans="1:13" x14ac:dyDescent="0.2">
      <c r="A38" s="10"/>
    </row>
    <row r="39" spans="1:13" x14ac:dyDescent="0.2">
      <c r="A39" s="10"/>
    </row>
    <row r="40" spans="1:13" x14ac:dyDescent="0.2">
      <c r="B40" s="5" t="s">
        <v>72</v>
      </c>
      <c r="C40" s="5"/>
      <c r="D40" s="5"/>
    </row>
    <row r="41" spans="1:13" x14ac:dyDescent="0.2">
      <c r="B41" s="8" t="s">
        <v>23</v>
      </c>
      <c r="C41" s="11"/>
      <c r="D41" s="5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11.42578125" defaultRowHeight="12.75" x14ac:dyDescent="0.2"/>
  <cols>
    <col min="1" max="1" width="21.42578125" bestFit="1" customWidth="1"/>
  </cols>
  <sheetData>
    <row r="1" spans="1:13" x14ac:dyDescent="0.2">
      <c r="E1" t="s">
        <v>60</v>
      </c>
    </row>
    <row r="4" spans="1:13" x14ac:dyDescent="0.2">
      <c r="A4" t="s">
        <v>7</v>
      </c>
      <c r="B4" s="1" t="s">
        <v>31</v>
      </c>
      <c r="C4" s="2" t="s">
        <v>17</v>
      </c>
      <c r="D4" s="2" t="s">
        <v>16</v>
      </c>
      <c r="E4" s="3" t="s">
        <v>8</v>
      </c>
      <c r="F4" s="3" t="s">
        <v>9</v>
      </c>
      <c r="G4" s="2" t="s">
        <v>18</v>
      </c>
      <c r="H4" s="3" t="s">
        <v>57</v>
      </c>
      <c r="I4" s="2" t="s">
        <v>19</v>
      </c>
      <c r="J4" s="2" t="s">
        <v>14</v>
      </c>
      <c r="K4" s="3" t="s">
        <v>10</v>
      </c>
      <c r="L4" s="3" t="s">
        <v>11</v>
      </c>
      <c r="M4" s="3" t="s">
        <v>24</v>
      </c>
    </row>
    <row r="5" spans="1:13" x14ac:dyDescent="0.2">
      <c r="A5" t="s">
        <v>0</v>
      </c>
      <c r="C5" s="1" t="s">
        <v>61</v>
      </c>
      <c r="D5" s="1" t="s">
        <v>63</v>
      </c>
      <c r="E5" s="3" t="s">
        <v>62</v>
      </c>
      <c r="F5" s="3" t="s">
        <v>62</v>
      </c>
      <c r="G5" s="3" t="s">
        <v>62</v>
      </c>
      <c r="H5" s="3" t="s">
        <v>62</v>
      </c>
      <c r="I5" s="2" t="s">
        <v>64</v>
      </c>
      <c r="J5" s="1" t="s">
        <v>63</v>
      </c>
      <c r="K5" s="1" t="s">
        <v>63</v>
      </c>
      <c r="L5" s="3" t="s">
        <v>65</v>
      </c>
      <c r="M5" s="1" t="s">
        <v>63</v>
      </c>
    </row>
    <row r="6" spans="1:13" x14ac:dyDescent="0.2">
      <c r="B6" s="1"/>
    </row>
    <row r="7" spans="1:13" x14ac:dyDescent="0.2">
      <c r="A7" s="10" t="s">
        <v>3</v>
      </c>
      <c r="B7" s="19">
        <v>0</v>
      </c>
      <c r="C7" s="21">
        <f>B7/100*2350</f>
        <v>0</v>
      </c>
      <c r="D7" s="21">
        <f>B7/100*9.8</f>
        <v>0</v>
      </c>
      <c r="E7" s="21">
        <f>B7/100*0.35</f>
        <v>0</v>
      </c>
      <c r="F7" s="21">
        <f>B7/100*0.15</f>
        <v>0</v>
      </c>
      <c r="G7" s="21">
        <f>B7/100*0.43</f>
        <v>0</v>
      </c>
      <c r="H7" s="21">
        <f>B7/100*0.1</f>
        <v>0</v>
      </c>
      <c r="I7" s="21">
        <f>B7/100*4.8</f>
        <v>0</v>
      </c>
      <c r="J7" s="21">
        <f>B7/100*12.4</f>
        <v>0</v>
      </c>
      <c r="K7" s="21">
        <f>B7/100*0.11</f>
        <v>0</v>
      </c>
      <c r="L7" s="21">
        <f>B7/100*0.08</f>
        <v>0</v>
      </c>
      <c r="M7" s="21">
        <f>B7/100*0.01</f>
        <v>0</v>
      </c>
    </row>
    <row r="8" spans="1:13" x14ac:dyDescent="0.2">
      <c r="A8" s="10" t="s">
        <v>1</v>
      </c>
      <c r="B8" s="19">
        <v>0</v>
      </c>
      <c r="C8" s="21">
        <f>B8/100*2980</f>
        <v>0</v>
      </c>
      <c r="D8" s="21">
        <f>B8/100*10.5</f>
        <v>0</v>
      </c>
      <c r="E8" s="21">
        <f>B8/100*0.26</f>
        <v>0</v>
      </c>
      <c r="F8" s="21">
        <f>B8/100*0.15</f>
        <v>0</v>
      </c>
      <c r="G8" s="21">
        <f>B8/100*0.38</f>
        <v>0</v>
      </c>
      <c r="H8" s="21">
        <f>B8/100*0.1</f>
        <v>0</v>
      </c>
      <c r="I8" s="21">
        <f>B8/100*1.5</f>
        <v>0</v>
      </c>
      <c r="J8" s="21">
        <f>B8/100*2.2</f>
        <v>0</v>
      </c>
      <c r="K8" s="21">
        <f>B8/100*0.07</f>
        <v>0</v>
      </c>
      <c r="L8" s="21">
        <f>B8/100*0.18</f>
        <v>0</v>
      </c>
      <c r="M8" s="21">
        <f>B8/100*0.01</f>
        <v>0</v>
      </c>
    </row>
    <row r="9" spans="1:13" x14ac:dyDescent="0.2">
      <c r="A9" s="10" t="s">
        <v>4</v>
      </c>
      <c r="B9" s="19">
        <v>35</v>
      </c>
      <c r="C9" s="21">
        <f>B9/100*3200</f>
        <v>1120</v>
      </c>
      <c r="D9" s="21">
        <f>B9/100*8.1</f>
        <v>2.8349999999999995</v>
      </c>
      <c r="E9" s="21">
        <f>B9/100*0.21</f>
        <v>7.3499999999999996E-2</v>
      </c>
      <c r="F9" s="21">
        <f>B9/100*0.16</f>
        <v>5.5999999999999994E-2</v>
      </c>
      <c r="G9" s="21">
        <f>B9/100*0.35</f>
        <v>0.12249999999999998</v>
      </c>
      <c r="H9" s="21">
        <f>B9/100*0.04</f>
        <v>1.3999999999999999E-2</v>
      </c>
      <c r="I9" s="21">
        <f>B9/100*3.7</f>
        <v>1.2949999999999999</v>
      </c>
      <c r="J9" s="21">
        <f>B9/100*2.2</f>
        <v>0.77</v>
      </c>
      <c r="K9" s="21">
        <f>B9/100*0.04</f>
        <v>1.3999999999999999E-2</v>
      </c>
      <c r="L9" s="21">
        <f>B9/100*0.06</f>
        <v>2.0999999999999998E-2</v>
      </c>
      <c r="M9" s="21">
        <f>B9/100*0.004</f>
        <v>1.4E-3</v>
      </c>
    </row>
    <row r="10" spans="1:13" x14ac:dyDescent="0.2">
      <c r="A10" s="10" t="s">
        <v>5</v>
      </c>
      <c r="B10" s="19">
        <v>0</v>
      </c>
      <c r="C10" s="21">
        <f>B10/100*2750</f>
        <v>0</v>
      </c>
      <c r="D10" s="21">
        <f>B10/100*10.1</f>
        <v>0</v>
      </c>
      <c r="E10" s="21">
        <f>B10/100*0.3</f>
        <v>0</v>
      </c>
      <c r="F10" s="21">
        <f>B10/100*0.14</f>
        <v>0</v>
      </c>
      <c r="G10" s="21">
        <f>B10/100*0.33</f>
        <v>0</v>
      </c>
      <c r="H10" s="21">
        <f>B10/100*0.1</f>
        <v>0</v>
      </c>
      <c r="I10" s="21">
        <f>B10/100*1.8</f>
        <v>0</v>
      </c>
      <c r="J10" s="21">
        <f>B10/100*4.6</f>
        <v>0</v>
      </c>
      <c r="K10" s="21">
        <f>B10/100*0.07</f>
        <v>0</v>
      </c>
      <c r="L10" s="21">
        <f>B10/100*0.2</f>
        <v>0</v>
      </c>
      <c r="M10" s="21">
        <f>B10/100*0.01</f>
        <v>0</v>
      </c>
    </row>
    <row r="11" spans="1:13" x14ac:dyDescent="0.2">
      <c r="A11" s="10" t="s">
        <v>6</v>
      </c>
      <c r="B11" s="19">
        <v>0</v>
      </c>
      <c r="C11" s="21">
        <f>B11/100*3300</f>
        <v>0</v>
      </c>
      <c r="D11" s="21">
        <f>B11/100*9.4</f>
        <v>0</v>
      </c>
      <c r="E11" s="21">
        <f>B11/100*0.19</f>
        <v>0</v>
      </c>
      <c r="F11" s="21">
        <f>B11/100*0.14</f>
        <v>0</v>
      </c>
      <c r="G11" s="21">
        <f>B11/100*0.29</f>
        <v>0</v>
      </c>
      <c r="H11" s="21">
        <f>B11/100*0.09</f>
        <v>0</v>
      </c>
      <c r="I11" s="21">
        <f>B11/100*2.9</f>
        <v>0</v>
      </c>
      <c r="J11" s="21">
        <f>B11/100*2.4</f>
        <v>0</v>
      </c>
      <c r="K11" s="21">
        <f>B11/100*0.03</f>
        <v>0</v>
      </c>
      <c r="L11" s="21">
        <f>B11/100*0.06</f>
        <v>0</v>
      </c>
      <c r="M11" s="21">
        <f>B11/100*0.02</f>
        <v>0</v>
      </c>
    </row>
    <row r="12" spans="1:13" x14ac:dyDescent="0.2">
      <c r="A12" s="10" t="s">
        <v>2</v>
      </c>
      <c r="B12" s="19">
        <v>7</v>
      </c>
      <c r="C12" s="21">
        <f>B12/100*2960</f>
        <v>207.20000000000002</v>
      </c>
      <c r="D12" s="21">
        <f>B12/100*9.6</f>
        <v>0.67200000000000004</v>
      </c>
      <c r="E12" s="21">
        <f>B12/100*0.33</f>
        <v>2.3100000000000002E-2</v>
      </c>
      <c r="F12" s="21">
        <f>B12/100*0.15</f>
        <v>1.0500000000000001E-2</v>
      </c>
      <c r="G12" s="21">
        <f>B12/100*0.36</f>
        <v>2.52E-2</v>
      </c>
      <c r="H12" s="21">
        <f>B12/100*0.1</f>
        <v>7.000000000000001E-3</v>
      </c>
      <c r="I12" s="21">
        <f>B12/100*1.4</f>
        <v>9.8000000000000004E-2</v>
      </c>
      <c r="J12" s="21">
        <f>B12/100*2.3</f>
        <v>0.161</v>
      </c>
      <c r="K12" s="21">
        <f>B12/100*0.07</f>
        <v>4.9000000000000007E-3</v>
      </c>
      <c r="L12" s="21">
        <f>B12/100*0.23</f>
        <v>1.6100000000000003E-2</v>
      </c>
      <c r="M12" s="21">
        <f>B12/100*0.01</f>
        <v>7.000000000000001E-4</v>
      </c>
    </row>
    <row r="13" spans="1:13" x14ac:dyDescent="0.2">
      <c r="A13" s="9" t="s">
        <v>35</v>
      </c>
      <c r="B13" s="19"/>
      <c r="C13" s="21">
        <f>B13/100*2610</f>
        <v>0</v>
      </c>
      <c r="D13" s="21">
        <f>B13/100*13</f>
        <v>0</v>
      </c>
      <c r="E13" s="21">
        <f>B13/100*0.53</f>
        <v>0</v>
      </c>
      <c r="F13" s="21">
        <f>B13/100*0.22</f>
        <v>0</v>
      </c>
      <c r="G13" s="21">
        <f>B13/100*0.43</f>
        <v>0</v>
      </c>
      <c r="H13" s="21">
        <f>B13/100*0</f>
        <v>0</v>
      </c>
      <c r="I13" s="21">
        <f>B13/100*2.7</f>
        <v>0</v>
      </c>
      <c r="J13" s="21">
        <f>B13/100*8</f>
        <v>0</v>
      </c>
      <c r="K13" s="21">
        <f>B13/100*0.68</f>
        <v>0</v>
      </c>
      <c r="L13" s="21">
        <f>B13/100*0.3</f>
        <v>0</v>
      </c>
      <c r="M13" s="21">
        <f>B13/100*0.01</f>
        <v>0</v>
      </c>
    </row>
    <row r="14" spans="1:13" x14ac:dyDescent="0.2">
      <c r="A14" s="10" t="s">
        <v>36</v>
      </c>
      <c r="B14" s="19">
        <v>7</v>
      </c>
      <c r="C14" s="21">
        <f>B14/100*2490</f>
        <v>174.3</v>
      </c>
      <c r="D14" s="21">
        <f>B14/100*26.8</f>
        <v>1.8760000000000003</v>
      </c>
      <c r="E14" s="21">
        <f>B14/100*1.57</f>
        <v>0.10990000000000001</v>
      </c>
      <c r="F14" s="21">
        <f>B14/100*0.16</f>
        <v>1.1200000000000002E-2</v>
      </c>
      <c r="G14" s="21">
        <f>B14/100*0.41</f>
        <v>2.87E-2</v>
      </c>
      <c r="H14" s="21">
        <f>B14/100*0.18</f>
        <v>1.26E-2</v>
      </c>
      <c r="I14" s="21">
        <f>B14/100*1.1</f>
        <v>7.7000000000000013E-2</v>
      </c>
      <c r="J14" s="21">
        <f>B14/100*7.5</f>
        <v>0.52500000000000002</v>
      </c>
      <c r="K14" s="21">
        <f>B14/100*0.14</f>
        <v>9.8000000000000014E-3</v>
      </c>
      <c r="L14" s="21">
        <f>B14/100*0.11</f>
        <v>7.7000000000000011E-3</v>
      </c>
      <c r="M14" s="21">
        <f>B14/100*0.01</f>
        <v>7.000000000000001E-4</v>
      </c>
    </row>
    <row r="15" spans="1:13" x14ac:dyDescent="0.2">
      <c r="A15" s="10" t="s">
        <v>37</v>
      </c>
      <c r="B15" s="19">
        <v>0</v>
      </c>
      <c r="C15" s="21">
        <f>B15/100*2330</f>
        <v>0</v>
      </c>
      <c r="D15" s="21">
        <f>B15/100*25.4</f>
        <v>0</v>
      </c>
      <c r="E15" s="21">
        <f>B15/100*1.46</f>
        <v>0</v>
      </c>
      <c r="F15" s="21">
        <f>B15/100*0.15</f>
        <v>0</v>
      </c>
      <c r="G15" s="21">
        <f>B15/100*0.37</f>
        <v>0</v>
      </c>
      <c r="H15" s="21">
        <f>B15/100*0.17</f>
        <v>0</v>
      </c>
      <c r="I15" s="21">
        <f>B15/100*1.3</f>
        <v>0</v>
      </c>
      <c r="J15" s="21">
        <f>B15/100*7.9</f>
        <v>0</v>
      </c>
      <c r="K15" s="21">
        <f>B15/100*0.14</f>
        <v>0</v>
      </c>
      <c r="L15" s="21">
        <f>B15/100*0.11</f>
        <v>0</v>
      </c>
      <c r="M15" s="21">
        <f>B15/100*0.01</f>
        <v>0</v>
      </c>
    </row>
    <row r="16" spans="1:13" x14ac:dyDescent="0.2">
      <c r="A16" s="9" t="s">
        <v>33</v>
      </c>
      <c r="B16" s="19">
        <v>0</v>
      </c>
      <c r="C16" s="21">
        <f>B16/100*2500</f>
        <v>0</v>
      </c>
      <c r="D16" s="21">
        <f>B16/100*24</f>
        <v>0</v>
      </c>
      <c r="E16" s="21">
        <f>B16/100*1.6</f>
        <v>0</v>
      </c>
      <c r="F16" s="21">
        <f>B16/100*0.23</f>
        <v>0</v>
      </c>
      <c r="G16" s="21">
        <f>B16/100*0.52</f>
        <v>0</v>
      </c>
      <c r="H16" s="21">
        <f>B16/100*0.15</f>
        <v>0</v>
      </c>
      <c r="I16" s="21">
        <f>B16/100*2</f>
        <v>0</v>
      </c>
      <c r="J16" s="21">
        <f>B16/100*2</f>
        <v>0</v>
      </c>
      <c r="K16" s="21">
        <f>B16/100*0.08</f>
        <v>0</v>
      </c>
      <c r="L16" s="21">
        <f>B16/100*0.14</f>
        <v>0</v>
      </c>
      <c r="M16" s="21">
        <f>B16/100*0.01</f>
        <v>0</v>
      </c>
    </row>
    <row r="17" spans="1:13" x14ac:dyDescent="0.2">
      <c r="A17" s="10" t="s">
        <v>20</v>
      </c>
      <c r="B17" s="19">
        <v>0</v>
      </c>
      <c r="C17" s="21">
        <f>B17/100*2290</f>
        <v>0</v>
      </c>
      <c r="D17" s="21">
        <f>B17/100*34.1</f>
        <v>0</v>
      </c>
      <c r="E17" s="21">
        <f>B17/100*1.53</f>
        <v>0</v>
      </c>
      <c r="F17" s="21">
        <f>B17/100*0.24</f>
        <v>0</v>
      </c>
      <c r="G17" s="21">
        <f>B17/100*0.77</f>
        <v>0</v>
      </c>
      <c r="H17" s="21">
        <f>B17/100*0.18</f>
        <v>0</v>
      </c>
      <c r="I17" s="21">
        <f>B17/100*8.4</f>
        <v>0</v>
      </c>
      <c r="J17" s="21">
        <f>B17/100*11.4</f>
        <v>0</v>
      </c>
      <c r="K17" s="21">
        <f>B17/100*0.34</f>
        <v>0</v>
      </c>
      <c r="L17" s="21">
        <f>B17/100*0.09</f>
        <v>0</v>
      </c>
      <c r="M17" s="21">
        <f>B17/100*0.04</f>
        <v>0</v>
      </c>
    </row>
    <row r="18" spans="1:13" x14ac:dyDescent="0.2">
      <c r="A18" s="10" t="s">
        <v>38</v>
      </c>
      <c r="B18" s="19">
        <v>20</v>
      </c>
      <c r="C18" s="21">
        <f>B18/100*2490</f>
        <v>498</v>
      </c>
      <c r="D18" s="21">
        <f>B18/100*20.7</f>
        <v>4.1399999999999997</v>
      </c>
      <c r="E18" s="21">
        <f>B18/100*1.19</f>
        <v>0.23799999999999999</v>
      </c>
      <c r="F18" s="21">
        <f>B18/100*0.16</f>
        <v>3.2000000000000001E-2</v>
      </c>
      <c r="G18" s="21">
        <f>B18/100*0.36</f>
        <v>7.1999999999999995E-2</v>
      </c>
      <c r="H18" s="21">
        <f>B18/100*0.13</f>
        <v>2.6000000000000002E-2</v>
      </c>
      <c r="I18" s="21">
        <f>B18/100*1</f>
        <v>0.2</v>
      </c>
      <c r="J18" s="21">
        <f>B18/100*5.2</f>
        <v>1.04</v>
      </c>
      <c r="K18" s="21">
        <f>B18/100*0.11</f>
        <v>2.2000000000000002E-2</v>
      </c>
      <c r="L18" s="21">
        <f>B18/100*0.1</f>
        <v>2.0000000000000004E-2</v>
      </c>
      <c r="M18" s="21">
        <f>B18/100*0.01</f>
        <v>2E-3</v>
      </c>
    </row>
    <row r="19" spans="1:13" x14ac:dyDescent="0.2">
      <c r="A19" s="22" t="s">
        <v>13</v>
      </c>
      <c r="B19" s="19">
        <v>0</v>
      </c>
      <c r="C19" s="21">
        <f>B19/100*2400</f>
        <v>0</v>
      </c>
      <c r="D19" s="21">
        <f>B19/100*19.3</f>
        <v>0</v>
      </c>
      <c r="E19" s="21">
        <f>B19/100*1.06</f>
        <v>0</v>
      </c>
      <c r="F19" s="21">
        <f>B19/100*0.16</f>
        <v>0</v>
      </c>
      <c r="G19" s="21">
        <f>B19/100*0.36</f>
        <v>0</v>
      </c>
      <c r="H19" s="21">
        <f>B19/100*0.13</f>
        <v>0</v>
      </c>
      <c r="I19" s="21">
        <f>B19/100*1.5</f>
        <v>0</v>
      </c>
      <c r="J19" s="21">
        <f>B19/100*4.6</f>
        <v>0</v>
      </c>
      <c r="K19" s="21">
        <f>B19/100*0.18</f>
        <v>0</v>
      </c>
      <c r="L19" s="21">
        <f>B19/100*0.1</f>
        <v>0</v>
      </c>
      <c r="M19" s="21">
        <f>B19/100*0.01</f>
        <v>0</v>
      </c>
    </row>
    <row r="20" spans="1:13" x14ac:dyDescent="0.2">
      <c r="A20" s="22" t="s">
        <v>34</v>
      </c>
      <c r="B20" s="19">
        <v>0</v>
      </c>
      <c r="C20" s="21">
        <f>B20/100*2650</f>
        <v>0</v>
      </c>
      <c r="D20" s="21">
        <f>B20/100*19.9</f>
        <v>0</v>
      </c>
      <c r="E20" s="21">
        <f>B20/100*1.08</f>
        <v>0</v>
      </c>
      <c r="F20" s="21">
        <f>B20/100*0.17</f>
        <v>0</v>
      </c>
      <c r="G20" s="21">
        <f>B20/100*0.42</f>
        <v>0</v>
      </c>
      <c r="H20" s="21">
        <f>B20/100*0.13</f>
        <v>0</v>
      </c>
      <c r="I20" s="21">
        <f>B20/100*5</f>
        <v>0</v>
      </c>
      <c r="J20" s="21">
        <f>B20/100*4</f>
        <v>0</v>
      </c>
      <c r="K20" s="21">
        <f>B20/100*0.08</f>
        <v>0</v>
      </c>
      <c r="L20" s="21">
        <f>B20/100*0.14</f>
        <v>0</v>
      </c>
      <c r="M20" s="21">
        <f>B20/100*0.01</f>
        <v>0</v>
      </c>
    </row>
    <row r="21" spans="1:13" x14ac:dyDescent="0.2">
      <c r="A21" s="10"/>
      <c r="B21" s="1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x14ac:dyDescent="0.2">
      <c r="A22" s="10" t="s">
        <v>39</v>
      </c>
      <c r="B22" s="19">
        <v>0</v>
      </c>
      <c r="C22" s="21">
        <f>B22/100*3450</f>
        <v>0</v>
      </c>
      <c r="D22" s="21">
        <f>B22/100*34.8</f>
        <v>0</v>
      </c>
      <c r="E22" s="21">
        <f>B22/100*1.9</f>
        <v>0</v>
      </c>
      <c r="F22" s="21">
        <f>B22/100*0.45</f>
        <v>0</v>
      </c>
      <c r="G22" s="21">
        <f>B22/100*0.89</f>
        <v>0</v>
      </c>
      <c r="H22" s="21">
        <f>B22/100*0.34</f>
        <v>0</v>
      </c>
      <c r="I22" s="21">
        <f>B22/100*17.9</f>
        <v>0</v>
      </c>
      <c r="J22" s="21">
        <f>B22/100*5.2</f>
        <v>0</v>
      </c>
      <c r="K22" s="21">
        <f>B22/100*0.31</f>
        <v>0</v>
      </c>
      <c r="L22" s="21">
        <f>B22/100*0.17</f>
        <v>0</v>
      </c>
      <c r="M22" s="21">
        <f>B22/100*0.08</f>
        <v>0</v>
      </c>
    </row>
    <row r="23" spans="1:13" x14ac:dyDescent="0.2">
      <c r="A23" s="10" t="s">
        <v>40</v>
      </c>
      <c r="B23" s="19">
        <v>0</v>
      </c>
      <c r="C23" s="21">
        <f>B23/100*4370</f>
        <v>0</v>
      </c>
      <c r="D23" s="21">
        <f>B23/100*16</f>
        <v>0</v>
      </c>
      <c r="E23" s="21">
        <f>B23/100*0.51</f>
        <v>0</v>
      </c>
      <c r="F23" s="21">
        <f>B23/100*0.31</f>
        <v>0</v>
      </c>
      <c r="G23" s="21">
        <f>B23/100*0.54</f>
        <v>0</v>
      </c>
      <c r="H23" s="21">
        <f>B23/100*0.17</f>
        <v>0</v>
      </c>
      <c r="I23" s="21">
        <f>B23/100*44.6</f>
        <v>0</v>
      </c>
      <c r="J23" s="21">
        <f>B23/100*15.5</f>
        <v>0</v>
      </c>
      <c r="K23" s="21">
        <f>B23/100*0.28</f>
        <v>0</v>
      </c>
      <c r="L23" s="21">
        <f>B23/100*0.13</f>
        <v>0</v>
      </c>
      <c r="M23" s="21">
        <f>B23/100*0.01</f>
        <v>0</v>
      </c>
    </row>
    <row r="24" spans="1:13" s="4" customFormat="1" x14ac:dyDescent="0.2">
      <c r="A24" s="10" t="s">
        <v>41</v>
      </c>
      <c r="B24" s="19">
        <v>0</v>
      </c>
      <c r="C24" s="21">
        <f>B24/100*3390</f>
        <v>0</v>
      </c>
      <c r="D24" s="21">
        <f>B24/100*19.1</f>
        <v>0</v>
      </c>
      <c r="E24" s="21">
        <f>B24/100*1.04</f>
        <v>0</v>
      </c>
      <c r="F24" s="21">
        <f>B24/100*0.36</f>
        <v>0</v>
      </c>
      <c r="G24" s="21">
        <f>B24/100*0.71</f>
        <v>0</v>
      </c>
      <c r="H24" s="21">
        <f>B24/100*0.18</f>
        <v>0</v>
      </c>
      <c r="I24" s="21">
        <f>B24/100*42</f>
        <v>0</v>
      </c>
      <c r="J24" s="21">
        <f>B24/100*8.2</f>
        <v>0</v>
      </c>
      <c r="K24" s="21">
        <f>B24/100*0.47</f>
        <v>0</v>
      </c>
      <c r="L24" s="21">
        <f>B24/100*0.17</f>
        <v>0</v>
      </c>
      <c r="M24" s="21">
        <f>B24/100*0.04</f>
        <v>0</v>
      </c>
    </row>
    <row r="25" spans="1:13" s="4" customFormat="1" x14ac:dyDescent="0.2">
      <c r="A25" s="10"/>
      <c r="B25" s="19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x14ac:dyDescent="0.2">
      <c r="A26" s="9" t="s">
        <v>42</v>
      </c>
      <c r="B26" s="19"/>
      <c r="C26" s="21">
        <f>B26/100*2190</f>
        <v>0</v>
      </c>
      <c r="D26" s="21">
        <f>B26/100*30</f>
        <v>0</v>
      </c>
      <c r="E26" s="21">
        <f>B26/100*1.29</f>
        <v>0</v>
      </c>
      <c r="F26" s="21">
        <f>B26/100*0.55</f>
        <v>0</v>
      </c>
      <c r="G26" s="21">
        <f>B26/100*1.17</f>
        <v>0</v>
      </c>
      <c r="H26" s="21">
        <f>B26/100*0.3</f>
        <v>0</v>
      </c>
      <c r="I26" s="21">
        <f>B26/100*10</f>
        <v>0</v>
      </c>
      <c r="J26" s="21">
        <f>B26/100*12</f>
        <v>0</v>
      </c>
      <c r="K26" s="21">
        <f>B26/100*0.83</f>
        <v>0</v>
      </c>
      <c r="L26" s="21">
        <f>B26/100*0.29</f>
        <v>0</v>
      </c>
      <c r="M26" s="21">
        <f>B26/100*0.06</f>
        <v>0</v>
      </c>
    </row>
    <row r="27" spans="1:13" x14ac:dyDescent="0.2">
      <c r="A27" s="10" t="s">
        <v>43</v>
      </c>
      <c r="B27" s="19">
        <v>0</v>
      </c>
      <c r="C27" s="21">
        <f>B27/100*1580</f>
        <v>0</v>
      </c>
      <c r="D27" s="21">
        <f>B27/100*30.9</f>
        <v>0</v>
      </c>
      <c r="E27" s="21">
        <f>B27/100*0.94</f>
        <v>0</v>
      </c>
      <c r="F27" s="21">
        <f>B27/100*0.44</f>
        <v>0</v>
      </c>
      <c r="G27" s="21">
        <f>B27/100*0.85</f>
        <v>0</v>
      </c>
      <c r="H27" s="21">
        <f>B27/100*0.38</f>
        <v>0</v>
      </c>
      <c r="I27" s="21">
        <f>B27/100*8.1</f>
        <v>0</v>
      </c>
      <c r="J27" s="21">
        <f>B27/100*10.2</f>
        <v>0</v>
      </c>
      <c r="K27" s="21">
        <f>B27/100*0.42</f>
        <v>0</v>
      </c>
      <c r="L27" s="21">
        <f>B27/100*0.21</f>
        <v>0</v>
      </c>
      <c r="M27" s="21">
        <f>B27/100*0.08</f>
        <v>0</v>
      </c>
    </row>
    <row r="28" spans="1:13" x14ac:dyDescent="0.2">
      <c r="A28" s="9" t="s">
        <v>44</v>
      </c>
      <c r="B28" s="19">
        <v>15</v>
      </c>
      <c r="C28" s="21">
        <f>B28/100*2900</f>
        <v>435</v>
      </c>
      <c r="D28" s="21">
        <f>B28/100*43.4</f>
        <v>6.51</v>
      </c>
      <c r="E28" s="21">
        <f>B28/100*0.92</f>
        <v>0.13800000000000001</v>
      </c>
      <c r="F28" s="21">
        <f>B28/100*1.02</f>
        <v>0.153</v>
      </c>
      <c r="G28" s="21">
        <f>B28/100*1.67</f>
        <v>0.2505</v>
      </c>
      <c r="H28" s="21">
        <f>B28/100*0.43</f>
        <v>6.4500000000000002E-2</v>
      </c>
      <c r="I28" s="21">
        <f>B28/100*11</f>
        <v>1.65</v>
      </c>
      <c r="J28" s="21">
        <f>B28/100*6</f>
        <v>0.89999999999999991</v>
      </c>
      <c r="K28" s="21">
        <f>B28/100*0.17</f>
        <v>2.5500000000000002E-2</v>
      </c>
      <c r="L28" s="21">
        <f>B28/100*0.1</f>
        <v>1.4999999999999999E-2</v>
      </c>
      <c r="M28" s="21">
        <f>B28/100*0.01</f>
        <v>1.5E-3</v>
      </c>
    </row>
    <row r="29" spans="1:13" s="13" customFormat="1" x14ac:dyDescent="0.2">
      <c r="A29" s="9" t="s">
        <v>45</v>
      </c>
      <c r="B29" s="17">
        <v>0</v>
      </c>
      <c r="C29" s="17">
        <f>B29/100*2550</f>
        <v>0</v>
      </c>
      <c r="D29" s="17">
        <f>B29/100*43.5</f>
        <v>0</v>
      </c>
      <c r="E29" s="17">
        <f>B29/100*2.39</f>
        <v>0</v>
      </c>
      <c r="F29" s="17">
        <f>B29/100*0.54</f>
        <v>0</v>
      </c>
      <c r="G29" s="17">
        <f>B29/100*1.11</f>
        <v>0</v>
      </c>
      <c r="H29" s="21">
        <f>B29/100*0.5</f>
        <v>0</v>
      </c>
      <c r="I29" s="17">
        <f>B29/100*6.3</f>
        <v>0</v>
      </c>
      <c r="J29" s="17">
        <f>B29/100*6.5</f>
        <v>0</v>
      </c>
      <c r="K29" s="17">
        <f>B29/100*0.35</f>
        <v>0</v>
      </c>
      <c r="L29" s="17">
        <f>B29/100*0.14</f>
        <v>0</v>
      </c>
      <c r="M29" s="17">
        <f>B29/100*0.01</f>
        <v>0</v>
      </c>
    </row>
    <row r="30" spans="1:13" s="13" customFormat="1" x14ac:dyDescent="0.2">
      <c r="A30" s="9" t="s">
        <v>46</v>
      </c>
      <c r="B30" s="19">
        <v>0</v>
      </c>
      <c r="C30" s="21">
        <f>B30/100*1780</f>
        <v>0</v>
      </c>
      <c r="D30" s="21">
        <f>B30/100*25</f>
        <v>0</v>
      </c>
      <c r="E30" s="21">
        <f>B30/100*0.73</f>
        <v>0</v>
      </c>
      <c r="F30" s="21">
        <f>B30/100*0.48</f>
        <v>0</v>
      </c>
      <c r="G30" s="21">
        <f>B30/100*0.83</f>
        <v>0</v>
      </c>
      <c r="H30" s="21">
        <f>B30/100*0.26</f>
        <v>0</v>
      </c>
      <c r="I30" s="21">
        <f>B30/100*11.4</f>
        <v>0</v>
      </c>
      <c r="J30" s="21">
        <f>B30/100*25</f>
        <v>0</v>
      </c>
      <c r="K30" s="21">
        <f>B30/100*0.37</f>
        <v>0</v>
      </c>
      <c r="L30" s="21">
        <f>B30/100*0.17</f>
        <v>0</v>
      </c>
      <c r="M30" s="21">
        <f>B30/100*0.02</f>
        <v>0</v>
      </c>
    </row>
    <row r="31" spans="1:13" x14ac:dyDescent="0.2">
      <c r="A31" s="9" t="s">
        <v>47</v>
      </c>
      <c r="B31" s="19"/>
      <c r="C31" s="21">
        <f>B31/100*1500</f>
        <v>0</v>
      </c>
      <c r="D31" s="21">
        <f>B31/100*26.5</f>
        <v>0</v>
      </c>
      <c r="E31" s="21">
        <f>B31/100*0.69</f>
        <v>0</v>
      </c>
      <c r="F31" s="21">
        <f>B31/100*0</f>
        <v>0</v>
      </c>
      <c r="G31" s="21">
        <f>B31/100*0</f>
        <v>0</v>
      </c>
      <c r="H31" s="21">
        <f>B31/100*0</f>
        <v>0</v>
      </c>
      <c r="I31" s="21">
        <f>B31/100*0</f>
        <v>0</v>
      </c>
      <c r="J31" s="21">
        <f>B31/100*29</f>
        <v>0</v>
      </c>
      <c r="K31" s="21">
        <f>B31/100*0.28</f>
        <v>0</v>
      </c>
      <c r="L31" s="21">
        <f>B31/100*1.06</f>
        <v>0</v>
      </c>
      <c r="M31" s="21">
        <f>B31/100*0</f>
        <v>0</v>
      </c>
    </row>
    <row r="32" spans="1:13" x14ac:dyDescent="0.2">
      <c r="A32" s="10" t="s">
        <v>48</v>
      </c>
      <c r="B32" s="19"/>
      <c r="C32" s="21">
        <f>B32/100*1050</f>
        <v>0</v>
      </c>
      <c r="D32" s="21">
        <f>B32/100*18.9</f>
        <v>0</v>
      </c>
      <c r="E32" s="21">
        <f>B32/100*0.63</f>
        <v>0</v>
      </c>
      <c r="F32" s="21">
        <f>B32/100*0.25</f>
        <v>0</v>
      </c>
      <c r="G32" s="21">
        <f>B32/100*0.36</f>
        <v>0</v>
      </c>
      <c r="H32" s="21">
        <f>B32/100*0.14</f>
        <v>0</v>
      </c>
      <c r="I32" s="21">
        <f>B32/100*3.1</f>
        <v>0</v>
      </c>
      <c r="J32" s="21">
        <f>B32/100*18.9</f>
        <v>0</v>
      </c>
      <c r="K32" s="21">
        <f>B32/100*2.26</f>
        <v>0</v>
      </c>
      <c r="L32" s="21">
        <f>B32/100*0.2</f>
        <v>0</v>
      </c>
      <c r="M32" s="21">
        <f>B32/100*0.02</f>
        <v>0</v>
      </c>
    </row>
    <row r="33" spans="1:13" x14ac:dyDescent="0.2">
      <c r="A33" s="12" t="s">
        <v>27</v>
      </c>
      <c r="B33" s="19">
        <v>6</v>
      </c>
      <c r="C33" s="21">
        <f>B33/100*3590</f>
        <v>215.4</v>
      </c>
      <c r="D33" s="21">
        <f>B33/100*60.6</f>
        <v>3.6360000000000001</v>
      </c>
      <c r="E33" s="21">
        <f>B33/100*0.96</f>
        <v>5.7599999999999998E-2</v>
      </c>
      <c r="F33" s="21">
        <f>B33/100*1.43</f>
        <v>8.5799999999999987E-2</v>
      </c>
      <c r="G33" s="21">
        <f>B33/100*2.44</f>
        <v>0.1464</v>
      </c>
      <c r="H33" s="21">
        <f>B33/100*0.25</f>
        <v>1.4999999999999999E-2</v>
      </c>
      <c r="I33" s="21">
        <f>B33/100*2.5</f>
        <v>0.15</v>
      </c>
      <c r="J33" s="21">
        <f>B33/100*1.1</f>
        <v>6.6000000000000003E-2</v>
      </c>
      <c r="K33" s="21">
        <f>B33/100*0.07</f>
        <v>4.2000000000000006E-3</v>
      </c>
      <c r="L33" s="21">
        <f>B33/100*0.1</f>
        <v>6.0000000000000001E-3</v>
      </c>
      <c r="M33" s="21">
        <f>B33/100*0.02</f>
        <v>1.1999999999999999E-3</v>
      </c>
    </row>
    <row r="34" spans="1:13" x14ac:dyDescent="0.2">
      <c r="A34" s="12" t="s">
        <v>30</v>
      </c>
      <c r="B34" s="19"/>
      <c r="C34" s="21">
        <f>B34/100*3220</f>
        <v>0</v>
      </c>
      <c r="D34" s="21">
        <f>B34/100*65.3</f>
        <v>0</v>
      </c>
      <c r="E34" s="21">
        <f>B34/100*4.35</f>
        <v>0</v>
      </c>
      <c r="F34" s="21">
        <f>B34/100*1.65</f>
        <v>0</v>
      </c>
      <c r="G34" s="21">
        <f>B34/100*2.07</f>
        <v>0</v>
      </c>
      <c r="H34" s="21">
        <f>B34/100*0.58</f>
        <v>0</v>
      </c>
      <c r="I34" s="21">
        <f>B34/100*8.9</f>
        <v>0</v>
      </c>
      <c r="J34" s="21">
        <f>B34/100*0</f>
        <v>0</v>
      </c>
      <c r="K34" s="21">
        <f>B34/100*3.85</f>
        <v>0</v>
      </c>
      <c r="L34" s="21">
        <f>B34/100*2.14</f>
        <v>0</v>
      </c>
      <c r="M34" s="21">
        <f>B34/100*1.13</f>
        <v>0</v>
      </c>
    </row>
    <row r="35" spans="1:13" x14ac:dyDescent="0.2">
      <c r="A35" s="12" t="s">
        <v>32</v>
      </c>
      <c r="B35" s="19"/>
      <c r="C35" s="21">
        <f>B35/100*2090</f>
        <v>0</v>
      </c>
      <c r="D35" s="21">
        <f>B35/100*46.5</f>
        <v>0</v>
      </c>
      <c r="E35" s="21">
        <f>B35/100*2.2</f>
        <v>0</v>
      </c>
      <c r="F35" s="21">
        <f>B35/100*0.5</f>
        <v>0</v>
      </c>
      <c r="G35" s="21">
        <f>B35/100*0.65</f>
        <v>0</v>
      </c>
      <c r="H35" s="21">
        <f>B35/100*0.27</f>
        <v>0</v>
      </c>
      <c r="I35" s="21">
        <f>B35/100*3.9</f>
        <v>0</v>
      </c>
      <c r="J35" s="21">
        <f>B35/100*1.9</f>
        <v>0</v>
      </c>
      <c r="K35" s="21">
        <f>B35/100*0.32</f>
        <v>0</v>
      </c>
      <c r="L35" s="21">
        <f>B35/100*1.01</f>
        <v>0</v>
      </c>
      <c r="M35" s="21">
        <f>B35/100*0.17</f>
        <v>0</v>
      </c>
    </row>
    <row r="36" spans="1:13" x14ac:dyDescent="0.2">
      <c r="A36" s="12" t="s">
        <v>15</v>
      </c>
      <c r="B36" s="19">
        <v>0.4</v>
      </c>
      <c r="C36" s="21">
        <f>B36/100*0</f>
        <v>0</v>
      </c>
      <c r="D36" s="21">
        <f>B36/100*0</f>
        <v>0</v>
      </c>
      <c r="E36" s="21">
        <f>B36/100*0</f>
        <v>0</v>
      </c>
      <c r="F36" s="21">
        <f>B36/100*0</f>
        <v>0</v>
      </c>
      <c r="G36" s="21">
        <f>B36/100*0</f>
        <v>0</v>
      </c>
      <c r="H36" s="21">
        <f>B36/100*0</f>
        <v>0</v>
      </c>
      <c r="I36" s="21">
        <f>B36/100*0</f>
        <v>0</v>
      </c>
      <c r="J36" s="21">
        <f>B36/100*0</f>
        <v>0</v>
      </c>
      <c r="K36" s="21">
        <f>B36/100*0.8</f>
        <v>3.2000000000000002E-3</v>
      </c>
      <c r="L36" s="21">
        <f>B36/100*0</f>
        <v>0</v>
      </c>
      <c r="M36" s="21">
        <f>B36/100*35.4</f>
        <v>0.1416</v>
      </c>
    </row>
    <row r="37" spans="1:13" x14ac:dyDescent="0.2">
      <c r="A37" s="10" t="s">
        <v>49</v>
      </c>
      <c r="B37" s="19">
        <v>8.1999999999999993</v>
      </c>
      <c r="C37" s="21">
        <f>B37/100*0</f>
        <v>0</v>
      </c>
      <c r="D37" s="21">
        <f>B37/100*0</f>
        <v>0</v>
      </c>
      <c r="E37" s="21">
        <f>B37/100*0</f>
        <v>0</v>
      </c>
      <c r="F37" s="21">
        <f>B37/100*0</f>
        <v>0</v>
      </c>
      <c r="G37" s="21">
        <f>B37/100*0</f>
        <v>0</v>
      </c>
      <c r="H37" s="21">
        <f>B37/100*0</f>
        <v>0</v>
      </c>
      <c r="I37" s="21">
        <f>B37/100*0</f>
        <v>0</v>
      </c>
      <c r="J37" s="21">
        <f>B37/100*0</f>
        <v>0</v>
      </c>
      <c r="K37" s="21">
        <f>B37/100*38</f>
        <v>3.1159999999999997</v>
      </c>
      <c r="L37" s="21">
        <f>B37/100*0</f>
        <v>0</v>
      </c>
      <c r="M37" s="21">
        <f>B37/100*0.02</f>
        <v>1.6399999999999997E-3</v>
      </c>
    </row>
    <row r="38" spans="1:13" x14ac:dyDescent="0.2">
      <c r="A38" s="10" t="s">
        <v>50</v>
      </c>
      <c r="B38" s="19">
        <v>1.4</v>
      </c>
      <c r="C38" s="21">
        <f>B38/100*0</f>
        <v>0</v>
      </c>
      <c r="D38" s="21">
        <f>B38/100*0</f>
        <v>0</v>
      </c>
      <c r="E38" s="21">
        <f>B38/100*0</f>
        <v>0</v>
      </c>
      <c r="F38" s="21">
        <f>B38/100*0</f>
        <v>0</v>
      </c>
      <c r="G38" s="21">
        <f>B38/100*0</f>
        <v>0</v>
      </c>
      <c r="H38" s="21">
        <f>B38/100*0</f>
        <v>0</v>
      </c>
      <c r="I38" s="21">
        <f>B38/100*0</f>
        <v>0</v>
      </c>
      <c r="J38" s="21">
        <f>B38/100*0</f>
        <v>0</v>
      </c>
      <c r="K38" s="21">
        <f>B38/100*24.5</f>
        <v>0.34299999999999997</v>
      </c>
      <c r="L38" s="21">
        <f>B38/100*16.74</f>
        <v>0.23435999999999996</v>
      </c>
      <c r="M38" s="21">
        <f>B38/100*0.04</f>
        <v>5.5999999999999995E-4</v>
      </c>
    </row>
    <row r="39" spans="1:13" x14ac:dyDescent="0.2">
      <c r="A39" s="10"/>
      <c r="B39" s="19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x14ac:dyDescent="0.2">
      <c r="A40" t="s">
        <v>12</v>
      </c>
      <c r="B40" s="1">
        <f t="shared" ref="B40:M40" si="0">SUM(B7:B38)</f>
        <v>100.00000000000001</v>
      </c>
      <c r="C40" s="15">
        <f t="shared" si="0"/>
        <v>2649.9</v>
      </c>
      <c r="D40" s="20">
        <f t="shared" si="0"/>
        <v>19.669</v>
      </c>
      <c r="E40" s="18">
        <f t="shared" si="0"/>
        <v>0.6401</v>
      </c>
      <c r="F40" s="18">
        <f t="shared" si="0"/>
        <v>0.34849999999999998</v>
      </c>
      <c r="G40" s="18">
        <f t="shared" si="0"/>
        <v>0.64529999999999998</v>
      </c>
      <c r="H40" s="18">
        <f t="shared" si="0"/>
        <v>0.1391</v>
      </c>
      <c r="I40" s="20">
        <f t="shared" si="0"/>
        <v>3.4699999999999998</v>
      </c>
      <c r="J40" s="20">
        <f t="shared" si="0"/>
        <v>3.4619999999999997</v>
      </c>
      <c r="K40" s="20">
        <f t="shared" si="0"/>
        <v>3.5425999999999997</v>
      </c>
      <c r="L40" s="18">
        <f t="shared" si="0"/>
        <v>0.32015999999999994</v>
      </c>
      <c r="M40" s="18">
        <f t="shared" si="0"/>
        <v>0.15130000000000002</v>
      </c>
    </row>
    <row r="42" spans="1:13" x14ac:dyDescent="0.2">
      <c r="A42" t="s">
        <v>25</v>
      </c>
    </row>
    <row r="43" spans="1:13" x14ac:dyDescent="0.2">
      <c r="A43" s="5" t="s">
        <v>26</v>
      </c>
    </row>
    <row r="44" spans="1:13" x14ac:dyDescent="0.2">
      <c r="A44" s="5" t="s">
        <v>28</v>
      </c>
      <c r="B44" s="1"/>
      <c r="C44" s="1">
        <v>2900</v>
      </c>
      <c r="D44" s="1">
        <v>20</v>
      </c>
      <c r="E44" s="18">
        <f>(C44/10000)*2.4</f>
        <v>0.69599999999999995</v>
      </c>
      <c r="F44" s="18">
        <f>E44*0.52</f>
        <v>0.36191999999999996</v>
      </c>
      <c r="G44" s="18">
        <f>E44*0.94</f>
        <v>0.65423999999999993</v>
      </c>
      <c r="H44" s="18">
        <f>E44*0.22</f>
        <v>0.15311999999999998</v>
      </c>
      <c r="I44" s="1">
        <v>7</v>
      </c>
      <c r="J44" s="1">
        <v>7</v>
      </c>
      <c r="K44" s="1"/>
      <c r="L44" s="1"/>
      <c r="M44" s="1"/>
    </row>
    <row r="45" spans="1:13" x14ac:dyDescent="0.2">
      <c r="A45" s="5" t="s">
        <v>29</v>
      </c>
      <c r="B45" s="1"/>
      <c r="C45" s="1">
        <v>2650</v>
      </c>
      <c r="D45" s="1">
        <v>15</v>
      </c>
      <c r="E45" s="18">
        <f>(C45/10000)*2.4</f>
        <v>0.63600000000000001</v>
      </c>
      <c r="F45" s="18">
        <f>E45*0.52</f>
        <v>0.33072000000000001</v>
      </c>
      <c r="G45" s="18">
        <f>E45*0.94</f>
        <v>0.59783999999999993</v>
      </c>
      <c r="H45" s="18">
        <f>E45*0.22</f>
        <v>0.13992000000000002</v>
      </c>
      <c r="I45" s="1">
        <v>4.5</v>
      </c>
      <c r="J45" s="1"/>
      <c r="K45" s="1">
        <v>3.5</v>
      </c>
      <c r="L45" s="18">
        <v>0.31</v>
      </c>
      <c r="M45" s="1">
        <v>0.14000000000000001</v>
      </c>
    </row>
    <row r="48" spans="1:13" x14ac:dyDescent="0.2">
      <c r="C48" s="5" t="s">
        <v>51</v>
      </c>
      <c r="H48" s="30" t="s">
        <v>75</v>
      </c>
      <c r="I48" s="31"/>
      <c r="J48" s="31"/>
      <c r="K48" s="32"/>
    </row>
    <row r="49" spans="3:11" x14ac:dyDescent="0.2">
      <c r="C49" t="s">
        <v>52</v>
      </c>
      <c r="E49" s="23">
        <f>F40/E40</f>
        <v>0.54444618028433056</v>
      </c>
      <c r="F49" s="24" t="s">
        <v>85</v>
      </c>
      <c r="G49" s="24"/>
      <c r="H49" s="33" t="s">
        <v>76</v>
      </c>
      <c r="I49" s="34"/>
      <c r="J49" s="34"/>
      <c r="K49" s="35"/>
    </row>
    <row r="50" spans="3:11" x14ac:dyDescent="0.2">
      <c r="C50" t="s">
        <v>53</v>
      </c>
      <c r="E50" s="23">
        <f>G40/E40</f>
        <v>1.0081237306670832</v>
      </c>
      <c r="F50" s="24" t="s">
        <v>59</v>
      </c>
      <c r="G50" s="24"/>
      <c r="H50" s="38" t="s">
        <v>77</v>
      </c>
      <c r="I50" s="43"/>
      <c r="J50" s="39" t="s">
        <v>79</v>
      </c>
      <c r="K50" s="32"/>
    </row>
    <row r="51" spans="3:11" x14ac:dyDescent="0.2">
      <c r="C51" t="s">
        <v>54</v>
      </c>
      <c r="E51" s="23">
        <f>H40/E40</f>
        <v>0.21730979534447742</v>
      </c>
      <c r="F51" s="24" t="s">
        <v>74</v>
      </c>
      <c r="G51" s="24"/>
      <c r="H51" s="40" t="s">
        <v>78</v>
      </c>
      <c r="I51" s="44"/>
      <c r="J51" s="41" t="s">
        <v>80</v>
      </c>
      <c r="K51" s="42"/>
    </row>
    <row r="52" spans="3:11" x14ac:dyDescent="0.2">
      <c r="H52" s="36">
        <v>22</v>
      </c>
      <c r="I52" s="46">
        <v>100</v>
      </c>
      <c r="J52" s="47"/>
      <c r="K52" s="48"/>
    </row>
    <row r="53" spans="3:11" x14ac:dyDescent="0.2">
      <c r="C53" t="s">
        <v>55</v>
      </c>
      <c r="F53" s="25">
        <f>(E40/C40)*10000</f>
        <v>2.4155628514283558</v>
      </c>
      <c r="H53" s="36">
        <v>23</v>
      </c>
      <c r="I53" s="46" t="s">
        <v>82</v>
      </c>
      <c r="J53" s="47"/>
      <c r="K53" s="48"/>
    </row>
    <row r="54" spans="3:11" x14ac:dyDescent="0.2">
      <c r="C54" s="24" t="s">
        <v>73</v>
      </c>
      <c r="H54" s="36">
        <v>24</v>
      </c>
      <c r="I54" s="46" t="s">
        <v>83</v>
      </c>
      <c r="J54" s="47"/>
      <c r="K54" s="48"/>
    </row>
    <row r="55" spans="3:11" x14ac:dyDescent="0.2">
      <c r="H55" s="37" t="s">
        <v>81</v>
      </c>
      <c r="I55" s="49" t="s">
        <v>84</v>
      </c>
      <c r="J55" s="50"/>
      <c r="K55" s="51"/>
    </row>
  </sheetData>
  <mergeCells count="4">
    <mergeCell ref="I52:K52"/>
    <mergeCell ref="I53:K53"/>
    <mergeCell ref="I54:K54"/>
    <mergeCell ref="I55:K55"/>
  </mergeCells>
  <phoneticPr fontId="0" type="noConversion"/>
  <pageMargins left="0.78740157499999996" right="0.78740157499999996" top="0.984251969" bottom="0.984251969" header="0.4921259845" footer="0.4921259845"/>
  <pageSetup paperSize="9" scale="66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F19" sqref="F19"/>
    </sheetView>
  </sheetViews>
  <sheetFormatPr defaultColWidth="11.42578125" defaultRowHeight="12.75" x14ac:dyDescent="0.2"/>
  <cols>
    <col min="1" max="1" width="21.42578125" bestFit="1" customWidth="1"/>
  </cols>
  <sheetData>
    <row r="1" spans="1:13" x14ac:dyDescent="0.2">
      <c r="E1" t="s">
        <v>60</v>
      </c>
    </row>
    <row r="4" spans="1:13" x14ac:dyDescent="0.2">
      <c r="A4" t="s">
        <v>7</v>
      </c>
      <c r="B4" s="1" t="s">
        <v>31</v>
      </c>
      <c r="C4" s="2" t="s">
        <v>17</v>
      </c>
      <c r="D4" s="2" t="s">
        <v>16</v>
      </c>
      <c r="E4" s="3" t="s">
        <v>8</v>
      </c>
      <c r="F4" s="3" t="s">
        <v>9</v>
      </c>
      <c r="G4" s="2" t="s">
        <v>18</v>
      </c>
      <c r="H4" s="3" t="s">
        <v>57</v>
      </c>
      <c r="I4" s="2" t="s">
        <v>19</v>
      </c>
      <c r="J4" s="2" t="s">
        <v>14</v>
      </c>
      <c r="K4" s="3" t="s">
        <v>10</v>
      </c>
      <c r="L4" s="3" t="s">
        <v>11</v>
      </c>
      <c r="M4" s="3" t="s">
        <v>24</v>
      </c>
    </row>
    <row r="5" spans="1:13" x14ac:dyDescent="0.2">
      <c r="A5" t="s">
        <v>0</v>
      </c>
      <c r="C5" s="1" t="s">
        <v>61</v>
      </c>
      <c r="D5" s="1" t="s">
        <v>63</v>
      </c>
      <c r="E5" s="3" t="s">
        <v>62</v>
      </c>
      <c r="F5" s="3" t="s">
        <v>62</v>
      </c>
      <c r="G5" s="3" t="s">
        <v>62</v>
      </c>
      <c r="H5" s="3" t="s">
        <v>62</v>
      </c>
      <c r="I5" s="2" t="s">
        <v>64</v>
      </c>
      <c r="J5" s="1" t="s">
        <v>63</v>
      </c>
      <c r="K5" s="1" t="s">
        <v>63</v>
      </c>
      <c r="L5" s="3" t="s">
        <v>65</v>
      </c>
      <c r="M5" s="1" t="s">
        <v>63</v>
      </c>
    </row>
    <row r="6" spans="1:13" x14ac:dyDescent="0.2">
      <c r="B6" s="1"/>
    </row>
    <row r="7" spans="1:13" x14ac:dyDescent="0.2">
      <c r="A7" s="10" t="s">
        <v>3</v>
      </c>
      <c r="B7" s="19">
        <v>0</v>
      </c>
      <c r="C7" s="21">
        <f>B7/100*2350</f>
        <v>0</v>
      </c>
      <c r="D7" s="21">
        <f>B7/100*9.8</f>
        <v>0</v>
      </c>
      <c r="E7" s="21">
        <f>B7/100*0.35</f>
        <v>0</v>
      </c>
      <c r="F7" s="21">
        <f>B7/100*0.15</f>
        <v>0</v>
      </c>
      <c r="G7" s="21">
        <f>B7/100*0.43</f>
        <v>0</v>
      </c>
      <c r="H7" s="21">
        <f>B7/100*0.1</f>
        <v>0</v>
      </c>
      <c r="I7" s="21">
        <f>B7/100*4.8</f>
        <v>0</v>
      </c>
      <c r="J7" s="21">
        <f>B7/100*12.4</f>
        <v>0</v>
      </c>
      <c r="K7" s="21">
        <f>B7/100*0.11</f>
        <v>0</v>
      </c>
      <c r="L7" s="21">
        <f>B7/100*0.08</f>
        <v>0</v>
      </c>
      <c r="M7" s="21">
        <f>B7/100*0.01</f>
        <v>0</v>
      </c>
    </row>
    <row r="8" spans="1:13" x14ac:dyDescent="0.2">
      <c r="A8" s="10" t="s">
        <v>1</v>
      </c>
      <c r="B8" s="19">
        <v>0</v>
      </c>
      <c r="C8" s="21">
        <f>B8/100*2980</f>
        <v>0</v>
      </c>
      <c r="D8" s="21">
        <f>B8/100*10.5</f>
        <v>0</v>
      </c>
      <c r="E8" s="21">
        <f>B8/100*0.26</f>
        <v>0</v>
      </c>
      <c r="F8" s="21">
        <f>B8/100*0.15</f>
        <v>0</v>
      </c>
      <c r="G8" s="21">
        <f>B8/100*0.38</f>
        <v>0</v>
      </c>
      <c r="H8" s="21">
        <f>B8/100*0.1</f>
        <v>0</v>
      </c>
      <c r="I8" s="21">
        <f>B8/100*1.5</f>
        <v>0</v>
      </c>
      <c r="J8" s="21">
        <f>B8/100*2.2</f>
        <v>0</v>
      </c>
      <c r="K8" s="21">
        <f>B8/100*0.07</f>
        <v>0</v>
      </c>
      <c r="L8" s="21">
        <f>B8/100*0.18</f>
        <v>0</v>
      </c>
      <c r="M8" s="21">
        <f>B8/100*0.01</f>
        <v>0</v>
      </c>
    </row>
    <row r="9" spans="1:13" x14ac:dyDescent="0.2">
      <c r="A9" s="10" t="s">
        <v>4</v>
      </c>
      <c r="B9" s="19">
        <v>35</v>
      </c>
      <c r="C9" s="21">
        <f>B9/100*3200</f>
        <v>1120</v>
      </c>
      <c r="D9" s="21">
        <f>B9/100*8.1</f>
        <v>2.8349999999999995</v>
      </c>
      <c r="E9" s="21">
        <f>B9/100*0.21</f>
        <v>7.3499999999999996E-2</v>
      </c>
      <c r="F9" s="21">
        <f>B9/100*0.16</f>
        <v>5.5999999999999994E-2</v>
      </c>
      <c r="G9" s="21">
        <f>B9/100*0.35</f>
        <v>0.12249999999999998</v>
      </c>
      <c r="H9" s="21">
        <f>B9/100*0.04</f>
        <v>1.3999999999999999E-2</v>
      </c>
      <c r="I9" s="21">
        <f>B9/100*3.7</f>
        <v>1.2949999999999999</v>
      </c>
      <c r="J9" s="21">
        <f>B9/100*2.2</f>
        <v>0.77</v>
      </c>
      <c r="K9" s="21">
        <f>B9/100*0.04</f>
        <v>1.3999999999999999E-2</v>
      </c>
      <c r="L9" s="21">
        <f>B9/100*0.06</f>
        <v>2.0999999999999998E-2</v>
      </c>
      <c r="M9" s="21">
        <f>B9/100*0.004</f>
        <v>1.4E-3</v>
      </c>
    </row>
    <row r="10" spans="1:13" x14ac:dyDescent="0.2">
      <c r="A10" s="10" t="s">
        <v>5</v>
      </c>
      <c r="B10" s="19">
        <v>0</v>
      </c>
      <c r="C10" s="21">
        <f>B10/100*2750</f>
        <v>0</v>
      </c>
      <c r="D10" s="21">
        <f>B10/100*10.1</f>
        <v>0</v>
      </c>
      <c r="E10" s="21">
        <f>B10/100*0.3</f>
        <v>0</v>
      </c>
      <c r="F10" s="21">
        <f>B10/100*0.14</f>
        <v>0</v>
      </c>
      <c r="G10" s="21">
        <f>B10/100*0.33</f>
        <v>0</v>
      </c>
      <c r="H10" s="21">
        <f>B10/100*0.1</f>
        <v>0</v>
      </c>
      <c r="I10" s="21">
        <f>B10/100*1.8</f>
        <v>0</v>
      </c>
      <c r="J10" s="21">
        <f>B10/100*4.6</f>
        <v>0</v>
      </c>
      <c r="K10" s="21">
        <f>B10/100*0.07</f>
        <v>0</v>
      </c>
      <c r="L10" s="21">
        <f>B10/100*0.2</f>
        <v>0</v>
      </c>
      <c r="M10" s="21">
        <f>B10/100*0.01</f>
        <v>0</v>
      </c>
    </row>
    <row r="11" spans="1:13" x14ac:dyDescent="0.2">
      <c r="A11" s="10" t="s">
        <v>6</v>
      </c>
      <c r="B11" s="19">
        <v>0</v>
      </c>
      <c r="C11" s="21">
        <f>B11/100*3300</f>
        <v>0</v>
      </c>
      <c r="D11" s="21">
        <f>B11/100*9.4</f>
        <v>0</v>
      </c>
      <c r="E11" s="21">
        <f>B11/100*0.19</f>
        <v>0</v>
      </c>
      <c r="F11" s="21">
        <f>B11/100*0.14</f>
        <v>0</v>
      </c>
      <c r="G11" s="21">
        <f>B11/100*0.29</f>
        <v>0</v>
      </c>
      <c r="H11" s="21">
        <f>B11/100*0.09</f>
        <v>0</v>
      </c>
      <c r="I11" s="21">
        <f>B11/100*2.9</f>
        <v>0</v>
      </c>
      <c r="J11" s="21">
        <f>B11/100*2.4</f>
        <v>0</v>
      </c>
      <c r="K11" s="21">
        <f>B11/100*0.03</f>
        <v>0</v>
      </c>
      <c r="L11" s="21">
        <f>B11/100*0.06</f>
        <v>0</v>
      </c>
      <c r="M11" s="21">
        <f>B11/100*0.02</f>
        <v>0</v>
      </c>
    </row>
    <row r="12" spans="1:13" x14ac:dyDescent="0.2">
      <c r="A12" s="10" t="s">
        <v>2</v>
      </c>
      <c r="B12" s="19">
        <v>10</v>
      </c>
      <c r="C12" s="21">
        <f>B12/100*2960</f>
        <v>296</v>
      </c>
      <c r="D12" s="21">
        <f>B12/100*9.6</f>
        <v>0.96</v>
      </c>
      <c r="E12" s="21">
        <f>B12/100*0.33</f>
        <v>3.3000000000000002E-2</v>
      </c>
      <c r="F12" s="21">
        <f>B12/100*0.15</f>
        <v>1.4999999999999999E-2</v>
      </c>
      <c r="G12" s="21">
        <f>B12/100*0.36</f>
        <v>3.5999999999999997E-2</v>
      </c>
      <c r="H12" s="21">
        <f>B12/100*0.1</f>
        <v>1.0000000000000002E-2</v>
      </c>
      <c r="I12" s="21">
        <f>B12/100*1.4</f>
        <v>0.13999999999999999</v>
      </c>
      <c r="J12" s="21">
        <f>B12/100*2.3</f>
        <v>0.22999999999999998</v>
      </c>
      <c r="K12" s="21">
        <f>B12/100*0.07</f>
        <v>7.000000000000001E-3</v>
      </c>
      <c r="L12" s="21">
        <f>B12/100*0.23</f>
        <v>2.3000000000000003E-2</v>
      </c>
      <c r="M12" s="21">
        <f>B12/100*0.01</f>
        <v>1E-3</v>
      </c>
    </row>
    <row r="13" spans="1:13" x14ac:dyDescent="0.2">
      <c r="A13" s="9" t="s">
        <v>35</v>
      </c>
      <c r="B13" s="19"/>
      <c r="C13" s="21">
        <f>B13/100*2610</f>
        <v>0</v>
      </c>
      <c r="D13" s="21">
        <f>B13/100*13</f>
        <v>0</v>
      </c>
      <c r="E13" s="21">
        <f>B13/100*0.53</f>
        <v>0</v>
      </c>
      <c r="F13" s="21">
        <f>B13/100*0.22</f>
        <v>0</v>
      </c>
      <c r="G13" s="21">
        <f>B13/100*0.43</f>
        <v>0</v>
      </c>
      <c r="H13" s="21">
        <f>B13/100*0</f>
        <v>0</v>
      </c>
      <c r="I13" s="21">
        <f>B13/100*2.7</f>
        <v>0</v>
      </c>
      <c r="J13" s="21">
        <f>B13/100*8</f>
        <v>0</v>
      </c>
      <c r="K13" s="21">
        <f>B13/100*0.68</f>
        <v>0</v>
      </c>
      <c r="L13" s="21">
        <f>B13/100*0.3</f>
        <v>0</v>
      </c>
      <c r="M13" s="21">
        <f>B13/100*0.01</f>
        <v>0</v>
      </c>
    </row>
    <row r="14" spans="1:13" x14ac:dyDescent="0.2">
      <c r="A14" s="10" t="s">
        <v>36</v>
      </c>
      <c r="B14" s="19">
        <v>5</v>
      </c>
      <c r="C14" s="21">
        <f>B14/100*2490</f>
        <v>124.5</v>
      </c>
      <c r="D14" s="21">
        <f>B14/100*26.8</f>
        <v>1.34</v>
      </c>
      <c r="E14" s="21">
        <f>B14/100*1.57</f>
        <v>7.8500000000000014E-2</v>
      </c>
      <c r="F14" s="21">
        <f>B14/100*0.16</f>
        <v>8.0000000000000002E-3</v>
      </c>
      <c r="G14" s="21">
        <f>B14/100*0.41</f>
        <v>2.0500000000000001E-2</v>
      </c>
      <c r="H14" s="21">
        <f>B14/100*0.18</f>
        <v>8.9999999999999993E-3</v>
      </c>
      <c r="I14" s="21">
        <f>B14/100*1.1</f>
        <v>5.5000000000000007E-2</v>
      </c>
      <c r="J14" s="21">
        <f>B14/100*7.5</f>
        <v>0.375</v>
      </c>
      <c r="K14" s="21">
        <f>B14/100*0.14</f>
        <v>7.000000000000001E-3</v>
      </c>
      <c r="L14" s="21">
        <f>B14/100*0.11</f>
        <v>5.5000000000000005E-3</v>
      </c>
      <c r="M14" s="21">
        <f>B14/100*0.01</f>
        <v>5.0000000000000001E-4</v>
      </c>
    </row>
    <row r="15" spans="1:13" x14ac:dyDescent="0.2">
      <c r="A15" s="10" t="s">
        <v>37</v>
      </c>
      <c r="B15" s="19">
        <v>0</v>
      </c>
      <c r="C15" s="21">
        <f>B15/100*2330</f>
        <v>0</v>
      </c>
      <c r="D15" s="21">
        <f>B15/100*25.4</f>
        <v>0</v>
      </c>
      <c r="E15" s="21">
        <f>B15/100*1.46</f>
        <v>0</v>
      </c>
      <c r="F15" s="21">
        <f>B15/100*0.15</f>
        <v>0</v>
      </c>
      <c r="G15" s="21">
        <f>B15/100*0.37</f>
        <v>0</v>
      </c>
      <c r="H15" s="21">
        <f>B15/100*0.17</f>
        <v>0</v>
      </c>
      <c r="I15" s="21">
        <f>B15/100*1.3</f>
        <v>0</v>
      </c>
      <c r="J15" s="21">
        <f>B15/100*7.9</f>
        <v>0</v>
      </c>
      <c r="K15" s="21">
        <f>B15/100*0.14</f>
        <v>0</v>
      </c>
      <c r="L15" s="21">
        <f>B15/100*0.11</f>
        <v>0</v>
      </c>
      <c r="M15" s="21">
        <f>B15/100*0.01</f>
        <v>0</v>
      </c>
    </row>
    <row r="16" spans="1:13" x14ac:dyDescent="0.2">
      <c r="A16" s="9" t="s">
        <v>33</v>
      </c>
      <c r="B16" s="19">
        <v>0</v>
      </c>
      <c r="C16" s="21">
        <f>B16/100*2500</f>
        <v>0</v>
      </c>
      <c r="D16" s="21">
        <f>B16/100*24</f>
        <v>0</v>
      </c>
      <c r="E16" s="21">
        <f>B16/100*1.6</f>
        <v>0</v>
      </c>
      <c r="F16" s="21">
        <f>B16/100*0.23</f>
        <v>0</v>
      </c>
      <c r="G16" s="21">
        <f>B16/100*0.52</f>
        <v>0</v>
      </c>
      <c r="H16" s="21">
        <f>B16/100*0.15</f>
        <v>0</v>
      </c>
      <c r="I16" s="21">
        <f>B16/100*2</f>
        <v>0</v>
      </c>
      <c r="J16" s="21">
        <f>B16/100*2</f>
        <v>0</v>
      </c>
      <c r="K16" s="21">
        <f>B16/100*0.08</f>
        <v>0</v>
      </c>
      <c r="L16" s="21">
        <f>B16/100*0.14</f>
        <v>0</v>
      </c>
      <c r="M16" s="21">
        <f>B16/100*0.01</f>
        <v>0</v>
      </c>
    </row>
    <row r="17" spans="1:13" x14ac:dyDescent="0.2">
      <c r="A17" s="10" t="s">
        <v>20</v>
      </c>
      <c r="B17" s="19">
        <v>0</v>
      </c>
      <c r="C17" s="21">
        <f>B17/100*2290</f>
        <v>0</v>
      </c>
      <c r="D17" s="21">
        <f>B17/100*34.1</f>
        <v>0</v>
      </c>
      <c r="E17" s="21">
        <f>B17/100*1.53</f>
        <v>0</v>
      </c>
      <c r="F17" s="21">
        <f>B17/100*0.24</f>
        <v>0</v>
      </c>
      <c r="G17" s="21">
        <f>B17/100*0.77</f>
        <v>0</v>
      </c>
      <c r="H17" s="21">
        <f>B17/100*0.18</f>
        <v>0</v>
      </c>
      <c r="I17" s="21">
        <f>B17/100*8.4</f>
        <v>0</v>
      </c>
      <c r="J17" s="21">
        <f>B17/100*11.4</f>
        <v>0</v>
      </c>
      <c r="K17" s="21">
        <f>B17/100*0.34</f>
        <v>0</v>
      </c>
      <c r="L17" s="21">
        <f>B17/100*0.09</f>
        <v>0</v>
      </c>
      <c r="M17" s="21">
        <f>B17/100*0.04</f>
        <v>0</v>
      </c>
    </row>
    <row r="18" spans="1:13" x14ac:dyDescent="0.2">
      <c r="A18" s="10" t="s">
        <v>38</v>
      </c>
      <c r="B18" s="19">
        <v>18</v>
      </c>
      <c r="C18" s="21">
        <f>B18/100*2490</f>
        <v>448.2</v>
      </c>
      <c r="D18" s="21">
        <f>B18/100*20.7</f>
        <v>3.7259999999999995</v>
      </c>
      <c r="E18" s="21">
        <f>B18/100*1.19</f>
        <v>0.21419999999999997</v>
      </c>
      <c r="F18" s="21">
        <f>B18/100*0.16</f>
        <v>2.8799999999999999E-2</v>
      </c>
      <c r="G18" s="21">
        <f>B18/100*0.36</f>
        <v>6.4799999999999996E-2</v>
      </c>
      <c r="H18" s="21">
        <f>B18/100*0.13</f>
        <v>2.3400000000000001E-2</v>
      </c>
      <c r="I18" s="21">
        <f>B18/100*1</f>
        <v>0.18</v>
      </c>
      <c r="J18" s="21">
        <f>B18/100*5.2</f>
        <v>0.93599999999999994</v>
      </c>
      <c r="K18" s="21">
        <f>B18/100*0.11</f>
        <v>1.9799999999999998E-2</v>
      </c>
      <c r="L18" s="21">
        <f>B18/100*0.1</f>
        <v>1.7999999999999999E-2</v>
      </c>
      <c r="M18" s="21">
        <f>B18/100*0.01</f>
        <v>1.8E-3</v>
      </c>
    </row>
    <row r="19" spans="1:13" x14ac:dyDescent="0.2">
      <c r="A19" s="22" t="s">
        <v>13</v>
      </c>
      <c r="B19" s="19">
        <v>0</v>
      </c>
      <c r="C19" s="21">
        <f>B19/100*2400</f>
        <v>0</v>
      </c>
      <c r="D19" s="21">
        <f>B19/100*19.3</f>
        <v>0</v>
      </c>
      <c r="E19" s="21">
        <f>B19/100*1.06</f>
        <v>0</v>
      </c>
      <c r="F19" s="21">
        <f>B19/100*0.16</f>
        <v>0</v>
      </c>
      <c r="G19" s="21">
        <f>B19/100*0.36</f>
        <v>0</v>
      </c>
      <c r="H19" s="21">
        <f>B19/100*0.13</f>
        <v>0</v>
      </c>
      <c r="I19" s="21">
        <f>B19/100*1.5</f>
        <v>0</v>
      </c>
      <c r="J19" s="21">
        <f>B19/100*4.6</f>
        <v>0</v>
      </c>
      <c r="K19" s="21">
        <f>B19/100*0.18</f>
        <v>0</v>
      </c>
      <c r="L19" s="21">
        <f>B19/100*0.1</f>
        <v>0</v>
      </c>
      <c r="M19" s="21">
        <f>B19/100*0.01</f>
        <v>0</v>
      </c>
    </row>
    <row r="20" spans="1:13" x14ac:dyDescent="0.2">
      <c r="A20" s="22" t="s">
        <v>34</v>
      </c>
      <c r="B20" s="19">
        <v>0</v>
      </c>
      <c r="C20" s="21">
        <f>B20/100*2650</f>
        <v>0</v>
      </c>
      <c r="D20" s="21">
        <f>B20/100*19.9</f>
        <v>0</v>
      </c>
      <c r="E20" s="21">
        <f>B20/100*1.08</f>
        <v>0</v>
      </c>
      <c r="F20" s="21">
        <f>B20/100*0.17</f>
        <v>0</v>
      </c>
      <c r="G20" s="21">
        <f>B20/100*0.42</f>
        <v>0</v>
      </c>
      <c r="H20" s="21">
        <f>B20/100*0.13</f>
        <v>0</v>
      </c>
      <c r="I20" s="21">
        <f>B20/100*5</f>
        <v>0</v>
      </c>
      <c r="J20" s="21">
        <f>B20/100*4</f>
        <v>0</v>
      </c>
      <c r="K20" s="21">
        <f>B20/100*0.08</f>
        <v>0</v>
      </c>
      <c r="L20" s="21">
        <f>B20/100*0.14</f>
        <v>0</v>
      </c>
      <c r="M20" s="21">
        <f>B20/100*0.01</f>
        <v>0</v>
      </c>
    </row>
    <row r="21" spans="1:13" x14ac:dyDescent="0.2">
      <c r="A21" s="10"/>
      <c r="B21" s="1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x14ac:dyDescent="0.2">
      <c r="A22" s="10" t="s">
        <v>39</v>
      </c>
      <c r="B22" s="19">
        <v>0</v>
      </c>
      <c r="C22" s="21">
        <f>B22/100*3450</f>
        <v>0</v>
      </c>
      <c r="D22" s="21">
        <f>B22/100*34.8</f>
        <v>0</v>
      </c>
      <c r="E22" s="21">
        <f>B22/100*1.9</f>
        <v>0</v>
      </c>
      <c r="F22" s="21">
        <f>B22/100*0.45</f>
        <v>0</v>
      </c>
      <c r="G22" s="21">
        <f>B22/100*0.89</f>
        <v>0</v>
      </c>
      <c r="H22" s="21">
        <f>B22/100*0.34</f>
        <v>0</v>
      </c>
      <c r="I22" s="21">
        <f>B22/100*17.9</f>
        <v>0</v>
      </c>
      <c r="J22" s="21">
        <f>B22/100*5.2</f>
        <v>0</v>
      </c>
      <c r="K22" s="21">
        <f>B22/100*0.31</f>
        <v>0</v>
      </c>
      <c r="L22" s="21">
        <f>B22/100*0.17</f>
        <v>0</v>
      </c>
      <c r="M22" s="21">
        <f>B22/100*0.08</f>
        <v>0</v>
      </c>
    </row>
    <row r="23" spans="1:13" x14ac:dyDescent="0.2">
      <c r="A23" s="10" t="s">
        <v>40</v>
      </c>
      <c r="B23" s="19">
        <v>0</v>
      </c>
      <c r="C23" s="21">
        <f>B23/100*4370</f>
        <v>0</v>
      </c>
      <c r="D23" s="21">
        <f>B23/100*16</f>
        <v>0</v>
      </c>
      <c r="E23" s="21">
        <f>B23/100*0.51</f>
        <v>0</v>
      </c>
      <c r="F23" s="21">
        <f>B23/100*0.31</f>
        <v>0</v>
      </c>
      <c r="G23" s="21">
        <f>B23/100*0.54</f>
        <v>0</v>
      </c>
      <c r="H23" s="21">
        <f>B23/100*0.17</f>
        <v>0</v>
      </c>
      <c r="I23" s="21">
        <f>B23/100*44.6</f>
        <v>0</v>
      </c>
      <c r="J23" s="21">
        <f>B23/100*15.5</f>
        <v>0</v>
      </c>
      <c r="K23" s="21">
        <f>B23/100*0.28</f>
        <v>0</v>
      </c>
      <c r="L23" s="21">
        <f>B23/100*0.13</f>
        <v>0</v>
      </c>
      <c r="M23" s="21">
        <f>B23/100*0.01</f>
        <v>0</v>
      </c>
    </row>
    <row r="24" spans="1:13" s="4" customFormat="1" x14ac:dyDescent="0.2">
      <c r="A24" s="10" t="s">
        <v>41</v>
      </c>
      <c r="B24" s="19">
        <v>5</v>
      </c>
      <c r="C24" s="21">
        <f>B24/100*3390</f>
        <v>169.5</v>
      </c>
      <c r="D24" s="21">
        <f>B24/100*19.1</f>
        <v>0.95500000000000007</v>
      </c>
      <c r="E24" s="21">
        <f>B24/100*1.04</f>
        <v>5.2000000000000005E-2</v>
      </c>
      <c r="F24" s="21">
        <f>B24/100*0.36</f>
        <v>1.7999999999999999E-2</v>
      </c>
      <c r="G24" s="21">
        <f>B24/100*0.71</f>
        <v>3.5499999999999997E-2</v>
      </c>
      <c r="H24" s="21">
        <f>B24/100*0.18</f>
        <v>8.9999999999999993E-3</v>
      </c>
      <c r="I24" s="21">
        <f>B24/100*42</f>
        <v>2.1</v>
      </c>
      <c r="J24" s="21">
        <f>B24/100*8.2</f>
        <v>0.41</v>
      </c>
      <c r="K24" s="21">
        <f>B24/100*0.47</f>
        <v>2.35E-2</v>
      </c>
      <c r="L24" s="21">
        <f>B24/100*0.17</f>
        <v>8.5000000000000006E-3</v>
      </c>
      <c r="M24" s="21">
        <f>B24/100*0.04</f>
        <v>2E-3</v>
      </c>
    </row>
    <row r="25" spans="1:13" s="4" customFormat="1" x14ac:dyDescent="0.2">
      <c r="A25" s="10"/>
      <c r="B25" s="19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x14ac:dyDescent="0.2">
      <c r="A26" s="9" t="s">
        <v>42</v>
      </c>
      <c r="B26" s="19"/>
      <c r="C26" s="21">
        <f>B26/100*2190</f>
        <v>0</v>
      </c>
      <c r="D26" s="21">
        <f>B26/100*30</f>
        <v>0</v>
      </c>
      <c r="E26" s="21">
        <f>B26/100*1.29</f>
        <v>0</v>
      </c>
      <c r="F26" s="21">
        <f>B26/100*0.55</f>
        <v>0</v>
      </c>
      <c r="G26" s="21">
        <f>B26/100*1.17</f>
        <v>0</v>
      </c>
      <c r="H26" s="21">
        <f>B26/100*0.3</f>
        <v>0</v>
      </c>
      <c r="I26" s="21">
        <f>B26/100*10</f>
        <v>0</v>
      </c>
      <c r="J26" s="21">
        <f>B26/100*12</f>
        <v>0</v>
      </c>
      <c r="K26" s="21">
        <f>B26/100*0.83</f>
        <v>0</v>
      </c>
      <c r="L26" s="21">
        <f>B26/100*0.29</f>
        <v>0</v>
      </c>
      <c r="M26" s="21">
        <f>B26/100*0.06</f>
        <v>0</v>
      </c>
    </row>
    <row r="27" spans="1:13" x14ac:dyDescent="0.2">
      <c r="A27" s="10" t="s">
        <v>43</v>
      </c>
      <c r="B27" s="19">
        <v>0</v>
      </c>
      <c r="C27" s="21">
        <f>B27/100*1580</f>
        <v>0</v>
      </c>
      <c r="D27" s="21">
        <f>B27/100*30.9</f>
        <v>0</v>
      </c>
      <c r="E27" s="21">
        <f>B27/100*0.94</f>
        <v>0</v>
      </c>
      <c r="F27" s="21">
        <f>B27/100*0.44</f>
        <v>0</v>
      </c>
      <c r="G27" s="21">
        <f>B27/100*0.85</f>
        <v>0</v>
      </c>
      <c r="H27" s="21">
        <f>B27/100*0.38</f>
        <v>0</v>
      </c>
      <c r="I27" s="21">
        <f>B27/100*8.1</f>
        <v>0</v>
      </c>
      <c r="J27" s="21">
        <f>B27/100*10.2</f>
        <v>0</v>
      </c>
      <c r="K27" s="21">
        <f>B27/100*0.42</f>
        <v>0</v>
      </c>
      <c r="L27" s="21">
        <f>B27/100*0.21</f>
        <v>0</v>
      </c>
      <c r="M27" s="21">
        <f>B27/100*0.08</f>
        <v>0</v>
      </c>
    </row>
    <row r="28" spans="1:13" x14ac:dyDescent="0.2">
      <c r="A28" s="9" t="s">
        <v>44</v>
      </c>
      <c r="B28" s="19">
        <v>13.2</v>
      </c>
      <c r="C28" s="21">
        <f>B28/100*2900</f>
        <v>382.8</v>
      </c>
      <c r="D28" s="21">
        <f>B28/100*43.4</f>
        <v>5.7287999999999997</v>
      </c>
      <c r="E28" s="21">
        <f>B28/100*0.92</f>
        <v>0.12144000000000001</v>
      </c>
      <c r="F28" s="21">
        <f>B28/100*1.02</f>
        <v>0.13464000000000001</v>
      </c>
      <c r="G28" s="21">
        <f>B28/100*1.67</f>
        <v>0.22044</v>
      </c>
      <c r="H28" s="21">
        <f>B28/100*0.43</f>
        <v>5.6760000000000005E-2</v>
      </c>
      <c r="I28" s="21">
        <f>B28/100*11</f>
        <v>1.452</v>
      </c>
      <c r="J28" s="21">
        <f>B28/100*6</f>
        <v>0.79200000000000004</v>
      </c>
      <c r="K28" s="21">
        <f>B28/100*0.17</f>
        <v>2.2440000000000002E-2</v>
      </c>
      <c r="L28" s="21">
        <f>B28/100*0.1</f>
        <v>1.3200000000000002E-2</v>
      </c>
      <c r="M28" s="21">
        <f>B28/100*0.01</f>
        <v>1.32E-3</v>
      </c>
    </row>
    <row r="29" spans="1:13" s="13" customFormat="1" x14ac:dyDescent="0.2">
      <c r="A29" s="9" t="s">
        <v>45</v>
      </c>
      <c r="B29" s="17">
        <v>0</v>
      </c>
      <c r="C29" s="17">
        <f>B29/100*2550</f>
        <v>0</v>
      </c>
      <c r="D29" s="17">
        <f>B29/100*43.5</f>
        <v>0</v>
      </c>
      <c r="E29" s="17">
        <f>B29/100*2.39</f>
        <v>0</v>
      </c>
      <c r="F29" s="17">
        <f>B29/100*0.54</f>
        <v>0</v>
      </c>
      <c r="G29" s="17">
        <f>B29/100*1.11</f>
        <v>0</v>
      </c>
      <c r="H29" s="21">
        <f>B29/100*0.5</f>
        <v>0</v>
      </c>
      <c r="I29" s="17">
        <f>B29/100*6.3</f>
        <v>0</v>
      </c>
      <c r="J29" s="17">
        <f>B29/100*6.5</f>
        <v>0</v>
      </c>
      <c r="K29" s="17">
        <f>B29/100*0.35</f>
        <v>0</v>
      </c>
      <c r="L29" s="17">
        <f>B29/100*0.14</f>
        <v>0</v>
      </c>
      <c r="M29" s="17">
        <f>B29/100*0.01</f>
        <v>0</v>
      </c>
    </row>
    <row r="30" spans="1:13" s="13" customFormat="1" x14ac:dyDescent="0.2">
      <c r="A30" s="9" t="s">
        <v>46</v>
      </c>
      <c r="B30" s="19">
        <v>2</v>
      </c>
      <c r="C30" s="21">
        <f>B30/100*1780</f>
        <v>35.6</v>
      </c>
      <c r="D30" s="21">
        <f>B30/100*25</f>
        <v>0.5</v>
      </c>
      <c r="E30" s="21">
        <f>B30/100*0.73</f>
        <v>1.46E-2</v>
      </c>
      <c r="F30" s="21">
        <f>B30/100*0.48</f>
        <v>9.5999999999999992E-3</v>
      </c>
      <c r="G30" s="21">
        <f>B30/100*0.83</f>
        <v>1.66E-2</v>
      </c>
      <c r="H30" s="21">
        <f>B30/100*0.26</f>
        <v>5.2000000000000006E-3</v>
      </c>
      <c r="I30" s="21">
        <f>B30/100*11.4</f>
        <v>0.22800000000000001</v>
      </c>
      <c r="J30" s="21">
        <f>B30/100*25</f>
        <v>0.5</v>
      </c>
      <c r="K30" s="21">
        <f>B30/100*0.37</f>
        <v>7.4000000000000003E-3</v>
      </c>
      <c r="L30" s="21">
        <f>B30/100*0.17</f>
        <v>3.4000000000000002E-3</v>
      </c>
      <c r="M30" s="21">
        <f>B30/100*0.02</f>
        <v>4.0000000000000002E-4</v>
      </c>
    </row>
    <row r="31" spans="1:13" x14ac:dyDescent="0.2">
      <c r="A31" s="9" t="s">
        <v>47</v>
      </c>
      <c r="B31" s="19"/>
      <c r="C31" s="21">
        <f>B31/100*1500</f>
        <v>0</v>
      </c>
      <c r="D31" s="21">
        <f>B31/100*26.5</f>
        <v>0</v>
      </c>
      <c r="E31" s="21">
        <f>B31/100*0.69</f>
        <v>0</v>
      </c>
      <c r="F31" s="21">
        <f>B31/100*0</f>
        <v>0</v>
      </c>
      <c r="G31" s="21">
        <f>B31/100*0</f>
        <v>0</v>
      </c>
      <c r="H31" s="21">
        <f>B31/100*0</f>
        <v>0</v>
      </c>
      <c r="I31" s="21">
        <f>B31/100*0</f>
        <v>0</v>
      </c>
      <c r="J31" s="21">
        <f>B31/100*29</f>
        <v>0</v>
      </c>
      <c r="K31" s="21">
        <f>B31/100*0.28</f>
        <v>0</v>
      </c>
      <c r="L31" s="21">
        <f>B31/100*1.06</f>
        <v>0</v>
      </c>
      <c r="M31" s="21">
        <f>B31/100*0</f>
        <v>0</v>
      </c>
    </row>
    <row r="32" spans="1:13" x14ac:dyDescent="0.2">
      <c r="A32" s="10" t="s">
        <v>48</v>
      </c>
      <c r="B32" s="19"/>
      <c r="C32" s="21">
        <f>B32/100*1050</f>
        <v>0</v>
      </c>
      <c r="D32" s="21">
        <f>B32/100*18.9</f>
        <v>0</v>
      </c>
      <c r="E32" s="21">
        <f>B32/100*0.63</f>
        <v>0</v>
      </c>
      <c r="F32" s="21">
        <f>B32/100*0.25</f>
        <v>0</v>
      </c>
      <c r="G32" s="21">
        <f>B32/100*0.36</f>
        <v>0</v>
      </c>
      <c r="H32" s="21">
        <f>B32/100*0.14</f>
        <v>0</v>
      </c>
      <c r="I32" s="21">
        <f>B32/100*3.1</f>
        <v>0</v>
      </c>
      <c r="J32" s="21">
        <f>B32/100*18.9</f>
        <v>0</v>
      </c>
      <c r="K32" s="21">
        <f>B32/100*2.26</f>
        <v>0</v>
      </c>
      <c r="L32" s="21">
        <f>B32/100*0.2</f>
        <v>0</v>
      </c>
      <c r="M32" s="21">
        <f>B32/100*0.02</f>
        <v>0</v>
      </c>
    </row>
    <row r="33" spans="1:13" x14ac:dyDescent="0.2">
      <c r="A33" s="12" t="s">
        <v>27</v>
      </c>
      <c r="B33" s="19">
        <v>2</v>
      </c>
      <c r="C33" s="21">
        <f>B33/100*3590</f>
        <v>71.8</v>
      </c>
      <c r="D33" s="21">
        <f>B33/100*60.6</f>
        <v>1.212</v>
      </c>
      <c r="E33" s="21">
        <f>B33/100*0.96</f>
        <v>1.9199999999999998E-2</v>
      </c>
      <c r="F33" s="21">
        <f>B33/100*1.43</f>
        <v>2.86E-2</v>
      </c>
      <c r="G33" s="21">
        <f>B33/100*2.44</f>
        <v>4.8800000000000003E-2</v>
      </c>
      <c r="H33" s="21">
        <f>B33/100*0.25</f>
        <v>5.0000000000000001E-3</v>
      </c>
      <c r="I33" s="21">
        <f>B33/100*2.5</f>
        <v>0.05</v>
      </c>
      <c r="J33" s="21">
        <f>B33/100*1.1</f>
        <v>2.2000000000000002E-2</v>
      </c>
      <c r="K33" s="21">
        <f>B33/100*0.07</f>
        <v>1.4000000000000002E-3</v>
      </c>
      <c r="L33" s="21">
        <f>B33/100*0.1</f>
        <v>2E-3</v>
      </c>
      <c r="M33" s="21">
        <f>B33/100*0.02</f>
        <v>4.0000000000000002E-4</v>
      </c>
    </row>
    <row r="34" spans="1:13" x14ac:dyDescent="0.2">
      <c r="A34" s="12" t="s">
        <v>30</v>
      </c>
      <c r="B34" s="19"/>
      <c r="C34" s="21">
        <f>B34/100*3220</f>
        <v>0</v>
      </c>
      <c r="D34" s="21">
        <f>B34/100*65.3</f>
        <v>0</v>
      </c>
      <c r="E34" s="21">
        <f>B34/100*4.35</f>
        <v>0</v>
      </c>
      <c r="F34" s="21">
        <f>B34/100*1.65</f>
        <v>0</v>
      </c>
      <c r="G34" s="21">
        <f>B34/100*2.07</f>
        <v>0</v>
      </c>
      <c r="H34" s="21">
        <f>B34/100*0.58</f>
        <v>0</v>
      </c>
      <c r="I34" s="21">
        <f>B34/100*8.9</f>
        <v>0</v>
      </c>
      <c r="J34" s="21">
        <f>B34/100*0</f>
        <v>0</v>
      </c>
      <c r="K34" s="21">
        <f>B34/100*3.85</f>
        <v>0</v>
      </c>
      <c r="L34" s="21">
        <f>B34/100*2.14</f>
        <v>0</v>
      </c>
      <c r="M34" s="21">
        <f>B34/100*1.13</f>
        <v>0</v>
      </c>
    </row>
    <row r="35" spans="1:13" x14ac:dyDescent="0.2">
      <c r="A35" s="12" t="s">
        <v>32</v>
      </c>
      <c r="B35" s="19"/>
      <c r="C35" s="21">
        <f>B35/100*2090</f>
        <v>0</v>
      </c>
      <c r="D35" s="21">
        <f>B35/100*46.5</f>
        <v>0</v>
      </c>
      <c r="E35" s="21">
        <f>B35/100*2.2</f>
        <v>0</v>
      </c>
      <c r="F35" s="21">
        <f>B35/100*0.5</f>
        <v>0</v>
      </c>
      <c r="G35" s="21">
        <f>B35/100*0.65</f>
        <v>0</v>
      </c>
      <c r="H35" s="21">
        <f>B35/100*0.27</f>
        <v>0</v>
      </c>
      <c r="I35" s="21">
        <f>B35/100*3.9</f>
        <v>0</v>
      </c>
      <c r="J35" s="21">
        <f>B35/100*1.9</f>
        <v>0</v>
      </c>
      <c r="K35" s="21">
        <f>B35/100*0.32</f>
        <v>0</v>
      </c>
      <c r="L35" s="21">
        <f>B35/100*1.01</f>
        <v>0</v>
      </c>
      <c r="M35" s="21">
        <f>B35/100*0.17</f>
        <v>0</v>
      </c>
    </row>
    <row r="36" spans="1:13" x14ac:dyDescent="0.2">
      <c r="A36" s="12" t="s">
        <v>15</v>
      </c>
      <c r="B36" s="19">
        <v>0.4</v>
      </c>
      <c r="C36" s="21">
        <f>B36/100*0</f>
        <v>0</v>
      </c>
      <c r="D36" s="21">
        <f>B36/100*0</f>
        <v>0</v>
      </c>
      <c r="E36" s="21">
        <f>B36/100*0</f>
        <v>0</v>
      </c>
      <c r="F36" s="21">
        <f>B36/100*0</f>
        <v>0</v>
      </c>
      <c r="G36" s="21">
        <f>B36/100*0</f>
        <v>0</v>
      </c>
      <c r="H36" s="21">
        <f>B36/100*0</f>
        <v>0</v>
      </c>
      <c r="I36" s="21">
        <f>B36/100*0</f>
        <v>0</v>
      </c>
      <c r="J36" s="21">
        <f>B36/100*0</f>
        <v>0</v>
      </c>
      <c r="K36" s="21">
        <f>B36/100*0.8</f>
        <v>3.2000000000000002E-3</v>
      </c>
      <c r="L36" s="21">
        <f>B36/100*0</f>
        <v>0</v>
      </c>
      <c r="M36" s="21">
        <f>B36/100*35.4</f>
        <v>0.1416</v>
      </c>
    </row>
    <row r="37" spans="1:13" x14ac:dyDescent="0.2">
      <c r="A37" s="10" t="s">
        <v>49</v>
      </c>
      <c r="B37" s="19">
        <v>8</v>
      </c>
      <c r="C37" s="21">
        <f>B37/100*0</f>
        <v>0</v>
      </c>
      <c r="D37" s="21">
        <f>B37/100*0</f>
        <v>0</v>
      </c>
      <c r="E37" s="21">
        <f>B37/100*0</f>
        <v>0</v>
      </c>
      <c r="F37" s="21">
        <f>B37/100*0</f>
        <v>0</v>
      </c>
      <c r="G37" s="21">
        <f>B37/100*0</f>
        <v>0</v>
      </c>
      <c r="H37" s="21">
        <f>B37/100*0</f>
        <v>0</v>
      </c>
      <c r="I37" s="21">
        <f>B37/100*0</f>
        <v>0</v>
      </c>
      <c r="J37" s="21">
        <f>B37/100*0</f>
        <v>0</v>
      </c>
      <c r="K37" s="21">
        <f>B37/100*38</f>
        <v>3.04</v>
      </c>
      <c r="L37" s="21">
        <f>B37/100*0</f>
        <v>0</v>
      </c>
      <c r="M37" s="21">
        <f>B37/100*0.02</f>
        <v>1.6000000000000001E-3</v>
      </c>
    </row>
    <row r="38" spans="1:13" x14ac:dyDescent="0.2">
      <c r="A38" s="10" t="s">
        <v>50</v>
      </c>
      <c r="B38" s="19">
        <v>1.4</v>
      </c>
      <c r="C38" s="21">
        <f>B38/100*0</f>
        <v>0</v>
      </c>
      <c r="D38" s="21">
        <f>B38/100*0</f>
        <v>0</v>
      </c>
      <c r="E38" s="21">
        <f>B38/100*0</f>
        <v>0</v>
      </c>
      <c r="F38" s="21">
        <f>B38/100*0</f>
        <v>0</v>
      </c>
      <c r="G38" s="21">
        <f>B38/100*0</f>
        <v>0</v>
      </c>
      <c r="H38" s="21">
        <f>B38/100*0</f>
        <v>0</v>
      </c>
      <c r="I38" s="21">
        <f>B38/100*0</f>
        <v>0</v>
      </c>
      <c r="J38" s="21">
        <f>B38/100*0</f>
        <v>0</v>
      </c>
      <c r="K38" s="21">
        <f>B38/100*24.5</f>
        <v>0.34299999999999997</v>
      </c>
      <c r="L38" s="21">
        <f>B38/100*16.74</f>
        <v>0.23435999999999996</v>
      </c>
      <c r="M38" s="21">
        <f>B38/100*0.04</f>
        <v>5.5999999999999995E-4</v>
      </c>
    </row>
    <row r="39" spans="1:13" x14ac:dyDescent="0.2">
      <c r="A39" s="10"/>
      <c r="B39" s="19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x14ac:dyDescent="0.2">
      <c r="A40" t="s">
        <v>12</v>
      </c>
      <c r="B40" s="1">
        <f>SUM(B7:B38)</f>
        <v>100.00000000000001</v>
      </c>
      <c r="C40" s="15">
        <f t="shared" ref="C40:M40" si="0">SUM(C7:C38)</f>
        <v>2648.4</v>
      </c>
      <c r="D40" s="20">
        <f t="shared" si="0"/>
        <v>17.256799999999998</v>
      </c>
      <c r="E40" s="18">
        <f t="shared" si="0"/>
        <v>0.60643999999999998</v>
      </c>
      <c r="F40" s="18">
        <f t="shared" si="0"/>
        <v>0.29864000000000002</v>
      </c>
      <c r="G40" s="18">
        <f t="shared" si="0"/>
        <v>0.56513999999999986</v>
      </c>
      <c r="H40" s="18">
        <f t="shared" si="0"/>
        <v>0.13236000000000001</v>
      </c>
      <c r="I40" s="20">
        <f t="shared" si="0"/>
        <v>5.4999999999999991</v>
      </c>
      <c r="J40" s="20">
        <f t="shared" si="0"/>
        <v>4.0350000000000001</v>
      </c>
      <c r="K40" s="20">
        <f t="shared" si="0"/>
        <v>3.48874</v>
      </c>
      <c r="L40" s="18">
        <f t="shared" si="0"/>
        <v>0.32895999999999992</v>
      </c>
      <c r="M40" s="18">
        <f t="shared" si="0"/>
        <v>0.15257999999999999</v>
      </c>
    </row>
    <row r="42" spans="1:13" x14ac:dyDescent="0.2">
      <c r="A42" t="s">
        <v>25</v>
      </c>
    </row>
    <row r="43" spans="1:13" x14ac:dyDescent="0.2">
      <c r="A43" s="5" t="s">
        <v>26</v>
      </c>
    </row>
    <row r="44" spans="1:13" x14ac:dyDescent="0.2">
      <c r="A44" s="5" t="s">
        <v>28</v>
      </c>
      <c r="B44" s="1"/>
      <c r="C44" s="1">
        <v>2900</v>
      </c>
      <c r="D44" s="1">
        <v>19</v>
      </c>
      <c r="E44" s="18">
        <f>(C44/10000)*2.3</f>
        <v>0.66699999999999993</v>
      </c>
      <c r="F44" s="18">
        <f>E44*0.5</f>
        <v>0.33349999999999996</v>
      </c>
      <c r="G44" s="18">
        <f>E44*0.94</f>
        <v>0.62697999999999987</v>
      </c>
      <c r="H44" s="18"/>
      <c r="I44" s="1">
        <v>7</v>
      </c>
      <c r="J44" s="1">
        <v>7</v>
      </c>
      <c r="K44" s="1"/>
      <c r="L44" s="1"/>
      <c r="M44" s="1"/>
    </row>
    <row r="45" spans="1:13" x14ac:dyDescent="0.2">
      <c r="A45" s="5" t="s">
        <v>29</v>
      </c>
      <c r="B45" s="1"/>
      <c r="C45" s="1">
        <v>2650</v>
      </c>
      <c r="D45" s="1">
        <v>15</v>
      </c>
      <c r="E45" s="18">
        <f>(C45/10000)*2.3</f>
        <v>0.60949999999999993</v>
      </c>
      <c r="F45" s="18">
        <f>E45*0.5</f>
        <v>0.30474999999999997</v>
      </c>
      <c r="G45" s="18">
        <f>E45*0.94</f>
        <v>0.57292999999999994</v>
      </c>
      <c r="H45" s="18">
        <f>E45*0.22</f>
        <v>0.13408999999999999</v>
      </c>
      <c r="I45" s="1">
        <v>4.5</v>
      </c>
      <c r="J45" s="1"/>
      <c r="K45" s="1">
        <v>3.5</v>
      </c>
      <c r="L45" s="18">
        <v>0.31</v>
      </c>
      <c r="M45" s="1">
        <v>0.14000000000000001</v>
      </c>
    </row>
    <row r="48" spans="1:13" x14ac:dyDescent="0.2">
      <c r="C48" s="5" t="s">
        <v>51</v>
      </c>
      <c r="H48" s="30" t="s">
        <v>75</v>
      </c>
      <c r="I48" s="31"/>
      <c r="J48" s="31"/>
      <c r="K48" s="32"/>
    </row>
    <row r="49" spans="3:11" x14ac:dyDescent="0.2">
      <c r="C49" t="s">
        <v>52</v>
      </c>
      <c r="E49" s="23">
        <f>F40/E40</f>
        <v>0.49244772772244577</v>
      </c>
      <c r="F49" s="24" t="s">
        <v>58</v>
      </c>
      <c r="G49" s="24"/>
      <c r="H49" s="33" t="s">
        <v>76</v>
      </c>
      <c r="I49" s="34"/>
      <c r="J49" s="34"/>
      <c r="K49" s="35"/>
    </row>
    <row r="50" spans="3:11" x14ac:dyDescent="0.2">
      <c r="C50" t="s">
        <v>53</v>
      </c>
      <c r="E50" s="23">
        <f>G40/E40</f>
        <v>0.93189763208231624</v>
      </c>
      <c r="F50" s="24" t="s">
        <v>59</v>
      </c>
      <c r="G50" s="24"/>
      <c r="H50" s="38" t="s">
        <v>77</v>
      </c>
      <c r="I50" s="43"/>
      <c r="J50" s="39" t="s">
        <v>79</v>
      </c>
      <c r="K50" s="32"/>
    </row>
    <row r="51" spans="3:11" x14ac:dyDescent="0.2">
      <c r="C51" t="s">
        <v>54</v>
      </c>
      <c r="E51" s="23">
        <f>H40/E40</f>
        <v>0.2182573708858255</v>
      </c>
      <c r="F51" s="24" t="s">
        <v>74</v>
      </c>
      <c r="G51" s="24"/>
      <c r="H51" s="40" t="s">
        <v>78</v>
      </c>
      <c r="I51" s="44"/>
      <c r="J51" s="41" t="s">
        <v>80</v>
      </c>
      <c r="K51" s="42"/>
    </row>
    <row r="52" spans="3:11" x14ac:dyDescent="0.2">
      <c r="H52" s="36">
        <v>22</v>
      </c>
      <c r="I52" s="46">
        <v>100</v>
      </c>
      <c r="J52" s="47"/>
      <c r="K52" s="48"/>
    </row>
    <row r="53" spans="3:11" x14ac:dyDescent="0.2">
      <c r="C53" t="s">
        <v>55</v>
      </c>
      <c r="F53" s="25">
        <f>(E40/C40)*10000</f>
        <v>2.2898353723002569</v>
      </c>
      <c r="H53" s="36">
        <v>23</v>
      </c>
      <c r="I53" s="46" t="s">
        <v>82</v>
      </c>
      <c r="J53" s="47"/>
      <c r="K53" s="48"/>
    </row>
    <row r="54" spans="3:11" x14ac:dyDescent="0.2">
      <c r="C54" s="24" t="s">
        <v>56</v>
      </c>
      <c r="H54" s="36">
        <v>24</v>
      </c>
      <c r="I54" s="46" t="s">
        <v>83</v>
      </c>
      <c r="J54" s="47"/>
      <c r="K54" s="48"/>
    </row>
    <row r="55" spans="3:11" x14ac:dyDescent="0.2">
      <c r="H55" s="37" t="s">
        <v>81</v>
      </c>
      <c r="I55" s="49" t="s">
        <v>84</v>
      </c>
      <c r="J55" s="50"/>
      <c r="K55" s="51"/>
    </row>
  </sheetData>
  <mergeCells count="4">
    <mergeCell ref="I52:K52"/>
    <mergeCell ref="I53:K53"/>
    <mergeCell ref="I54:K54"/>
    <mergeCell ref="I55:K55"/>
  </mergeCells>
  <phoneticPr fontId="0" type="noConversion"/>
  <pageMargins left="0.78740157499999996" right="0.78740157499999996" top="0.984251969" bottom="0.984251969" header="0.4921259845" footer="0.4921259845"/>
  <pageSetup paperSize="9" scale="66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Valeur alimentaire</vt:lpstr>
      <vt:lpstr>Rations Entrée ponte (&lt;42 sem.)</vt:lpstr>
      <vt:lpstr>Rations Pondeuse + de 42 sem.</vt:lpstr>
      <vt:lpstr>Feuil2</vt:lpstr>
      <vt:lpstr>Feuil3</vt:lpstr>
    </vt:vector>
  </TitlesOfParts>
  <Company/>
  <LinksUpToDate>false</LinksUpToDate>
  <SharedDoc>false</SharedDoc>
  <HyperlinkBase>excelmadeeasy.com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Excel</cp:lastModifiedBy>
  <cp:lastPrinted>2005-01-05T15:34:06Z</cp:lastPrinted>
  <dcterms:created xsi:type="dcterms:W3CDTF">2003-02-03T16:27:43Z</dcterms:created>
  <dcterms:modified xsi:type="dcterms:W3CDTF">2018-03-25T10:50:22Z</dcterms:modified>
</cp:coreProperties>
</file>